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マイドライブ\体力向上ソフト\"/>
    </mc:Choice>
  </mc:AlternateContent>
  <xr:revisionPtr revIDLastSave="0" documentId="13_ncr:40009_{7BCBDFE5-4AEF-480E-8784-E492FE256009}" xr6:coauthVersionLast="47" xr6:coauthVersionMax="47" xr10:uidLastSave="{00000000-0000-0000-0000-000000000000}"/>
  <bookViews>
    <workbookView xWindow="1560" yWindow="975" windowWidth="24795" windowHeight="15225" tabRatio="604"/>
  </bookViews>
  <sheets>
    <sheet name="記録" sheetId="1" r:id="rId1"/>
    <sheet name="得点基準表" sheetId="5" r:id="rId2"/>
    <sheet name="熊本県基準値" sheetId="3" r:id="rId3"/>
    <sheet name="基準値月別値" sheetId="6" state="hidden" r:id="rId4"/>
    <sheet name="評価" sheetId="4" state="hidden" r:id="rId5"/>
  </sheets>
  <definedNames>
    <definedName name="_xlnm.Print_Area" localSheetId="0">記録!$A$1:$P$49</definedName>
    <definedName name="_xlnm.Print_Area" localSheetId="1">得点基準表!$A$1:$L$32</definedName>
    <definedName name="女５０ｍ走">評価!$N$14:$O$24</definedName>
    <definedName name="女ｼｬﾄﾙﾗﾝ">評価!$L$14:$M$24</definedName>
    <definedName name="女ﾊﾝﾄﾞﾎﾞｰﾙ投">評価!$R$14:$S$24</definedName>
    <definedName name="女握力">評価!$B$14:$C$24</definedName>
    <definedName name="女子平均">基準値月別値!$B$77:$V$148</definedName>
    <definedName name="女持久走">評価!$J$14:$K$24</definedName>
    <definedName name="女上体起こし">評価!$D$14:$E$24</definedName>
    <definedName name="女長座体前屈">評価!$F$14:$G$24</definedName>
    <definedName name="女反復横とび">評価!$H$14:$I$24</definedName>
    <definedName name="女立ち幅とび">評価!$P$14:$Q$24</definedName>
    <definedName name="段階">評価!$V$2:$Z$7</definedName>
    <definedName name="男５０ｍ走">評価!$N$2:$O$12</definedName>
    <definedName name="男ｼｬﾄﾙﾗﾝ">評価!$L$2:$M$12</definedName>
    <definedName name="男ﾊﾝﾄﾞﾎﾞｰﾙ投">評価!$R$2:$S$12</definedName>
    <definedName name="男握力">評価!$B$2:$C$12</definedName>
    <definedName name="男子平均">基準値月別値!$B$4:$V$75</definedName>
    <definedName name="男持久走">評価!$J$2:$K$12</definedName>
    <definedName name="男上体起こし">評価!$D$2:$E$12</definedName>
    <definedName name="男長座体前屈">評価!$F$2:$G$12</definedName>
    <definedName name="男反復横とび">評価!$H$2:$I$12</definedName>
    <definedName name="男立ち幅とび">評価!$P$2:$Q$12</definedName>
    <definedName name="入力データ">記録!$A$6:$S$11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 i="1" l="1"/>
  <c r="R6" i="1"/>
  <c r="Q14" i="1" s="1"/>
  <c r="S6" i="1"/>
  <c r="T6" i="1"/>
  <c r="Q7" i="1"/>
  <c r="R7" i="1"/>
  <c r="S7" i="1"/>
  <c r="T7" i="1"/>
  <c r="Q8" i="1"/>
  <c r="R8" i="1"/>
  <c r="S8" i="1"/>
  <c r="T8" i="1"/>
  <c r="Q9" i="1"/>
  <c r="R9" i="1"/>
  <c r="S9" i="1"/>
  <c r="T9" i="1"/>
  <c r="Q10" i="1"/>
  <c r="R10" i="1"/>
  <c r="S10" i="1"/>
  <c r="T10" i="1"/>
  <c r="Q11" i="1"/>
  <c r="R11" i="1"/>
  <c r="S11" i="1"/>
  <c r="T11" i="1"/>
  <c r="T47" i="1" s="1"/>
  <c r="B16" i="1"/>
  <c r="I22" i="1" s="1"/>
  <c r="R14" i="1"/>
  <c r="E16" i="1"/>
  <c r="N16" i="1"/>
  <c r="G16" i="1"/>
  <c r="D19" i="1"/>
  <c r="D20" i="1"/>
  <c r="F20" i="1" s="1"/>
  <c r="D21" i="1"/>
  <c r="G21" i="1" s="1"/>
  <c r="D22" i="1"/>
  <c r="F22" i="1"/>
  <c r="B23" i="1"/>
  <c r="D24" i="1"/>
  <c r="I24" i="1"/>
  <c r="D25" i="1"/>
  <c r="F25" i="1" s="1"/>
  <c r="J25" i="1"/>
  <c r="Q25" i="1"/>
  <c r="D26" i="1"/>
  <c r="G26" i="1"/>
  <c r="Q23" i="1" s="1"/>
  <c r="I26" i="1"/>
  <c r="Q26" i="1"/>
  <c r="Q27" i="1"/>
  <c r="Q28" i="1"/>
  <c r="B27" i="1" s="1"/>
  <c r="R42" i="1"/>
  <c r="T42" i="1"/>
  <c r="U42" i="1"/>
  <c r="V42" i="1"/>
  <c r="R43" i="1"/>
  <c r="T43" i="1"/>
  <c r="V43" i="1" s="1"/>
  <c r="U43" i="1"/>
  <c r="T48" i="1"/>
  <c r="R44" i="1"/>
  <c r="T44" i="1"/>
  <c r="V44" i="1" s="1"/>
  <c r="U44" i="1"/>
  <c r="R45" i="1"/>
  <c r="T45" i="1"/>
  <c r="V45" i="1" s="1"/>
  <c r="U45" i="1"/>
  <c r="R46" i="1"/>
  <c r="T46" i="1"/>
  <c r="V46" i="1" s="1"/>
  <c r="U51" i="1" s="1"/>
  <c r="U46" i="1"/>
  <c r="T51" i="1"/>
  <c r="R47" i="1"/>
  <c r="V47" i="1"/>
  <c r="U52" i="1" s="1"/>
  <c r="U47" i="1"/>
  <c r="C50" i="1"/>
  <c r="N50" i="1" s="1"/>
  <c r="C4" i="6"/>
  <c r="D4" i="6"/>
  <c r="E4" i="6"/>
  <c r="F4" i="6"/>
  <c r="G4" i="6"/>
  <c r="H4" i="6"/>
  <c r="I4" i="6"/>
  <c r="J4" i="6"/>
  <c r="K4" i="6"/>
  <c r="L4" i="6"/>
  <c r="M4" i="6"/>
  <c r="N4" i="6"/>
  <c r="O4" i="6"/>
  <c r="P4" i="6"/>
  <c r="Q4" i="6"/>
  <c r="R4" i="6"/>
  <c r="S4" i="6"/>
  <c r="T4" i="6"/>
  <c r="T8" i="6"/>
  <c r="U4" i="6"/>
  <c r="V4" i="6"/>
  <c r="S13" i="6"/>
  <c r="C16" i="6"/>
  <c r="C8" i="6" s="1"/>
  <c r="D16" i="6"/>
  <c r="E16" i="6"/>
  <c r="E8" i="6"/>
  <c r="F16" i="6"/>
  <c r="G16" i="6"/>
  <c r="H16" i="6"/>
  <c r="H9" i="6" s="1"/>
  <c r="I16" i="6"/>
  <c r="J16" i="6"/>
  <c r="K16" i="6"/>
  <c r="L16" i="6"/>
  <c r="M16" i="6"/>
  <c r="M12" i="6"/>
  <c r="N16" i="6"/>
  <c r="N7" i="6"/>
  <c r="O16" i="6"/>
  <c r="O8" i="6"/>
  <c r="P16" i="6"/>
  <c r="Q16" i="6"/>
  <c r="Q6" i="6"/>
  <c r="R16" i="6"/>
  <c r="R15" i="6"/>
  <c r="S16" i="6"/>
  <c r="S11" i="6"/>
  <c r="T16" i="6"/>
  <c r="U16" i="6"/>
  <c r="V16" i="6"/>
  <c r="V7" i="6" s="1"/>
  <c r="O17" i="6"/>
  <c r="O21" i="6"/>
  <c r="T26" i="6"/>
  <c r="C28" i="6"/>
  <c r="D28" i="6"/>
  <c r="D39" i="6"/>
  <c r="E28" i="6"/>
  <c r="F28" i="6"/>
  <c r="F19" i="6" s="1"/>
  <c r="G28" i="6"/>
  <c r="G30" i="6"/>
  <c r="H28" i="6"/>
  <c r="H37" i="6"/>
  <c r="I28" i="6"/>
  <c r="J28" i="6"/>
  <c r="J20" i="6" s="1"/>
  <c r="K28" i="6"/>
  <c r="K23" i="6"/>
  <c r="L28" i="6"/>
  <c r="L20" i="6"/>
  <c r="M28" i="6"/>
  <c r="N28" i="6"/>
  <c r="N20" i="6" s="1"/>
  <c r="O28" i="6"/>
  <c r="P28" i="6"/>
  <c r="P22" i="6" s="1"/>
  <c r="Q28" i="6"/>
  <c r="Q29" i="6"/>
  <c r="R28" i="6"/>
  <c r="R31" i="6" s="1"/>
  <c r="S28" i="6"/>
  <c r="S20" i="6"/>
  <c r="S18" i="6"/>
  <c r="T28" i="6"/>
  <c r="U28" i="6"/>
  <c r="V28" i="6"/>
  <c r="V22" i="6"/>
  <c r="Q34" i="6"/>
  <c r="Q37" i="6"/>
  <c r="Q38" i="6"/>
  <c r="C40" i="6"/>
  <c r="D40" i="6"/>
  <c r="E40" i="6"/>
  <c r="F40" i="6"/>
  <c r="F30" i="6"/>
  <c r="G40" i="6"/>
  <c r="H40" i="6"/>
  <c r="I40" i="6"/>
  <c r="I44" i="6"/>
  <c r="J40" i="6"/>
  <c r="K40" i="6"/>
  <c r="K39" i="6" s="1"/>
  <c r="L40" i="6"/>
  <c r="M40" i="6"/>
  <c r="N40" i="6"/>
  <c r="N30" i="6"/>
  <c r="O40" i="6"/>
  <c r="O37" i="6" s="1"/>
  <c r="O29" i="6"/>
  <c r="P40" i="6"/>
  <c r="Q40" i="6"/>
  <c r="Q39" i="6" s="1"/>
  <c r="Q36" i="6"/>
  <c r="Q33" i="6"/>
  <c r="R40" i="6"/>
  <c r="S40" i="6"/>
  <c r="S31" i="6" s="1"/>
  <c r="S43" i="6"/>
  <c r="S30" i="6"/>
  <c r="T40" i="6"/>
  <c r="U40" i="6"/>
  <c r="U35" i="6"/>
  <c r="V40" i="6"/>
  <c r="V29" i="6"/>
  <c r="V42" i="6"/>
  <c r="C52" i="6"/>
  <c r="D52" i="6"/>
  <c r="D46" i="6" s="1"/>
  <c r="E52" i="6"/>
  <c r="F52" i="6"/>
  <c r="G52" i="6"/>
  <c r="H52" i="6"/>
  <c r="H41" i="6" s="1"/>
  <c r="I52" i="6"/>
  <c r="I50" i="6"/>
  <c r="J52" i="6"/>
  <c r="K52" i="6"/>
  <c r="L52" i="6"/>
  <c r="M52" i="6"/>
  <c r="N52" i="6"/>
  <c r="O52" i="6"/>
  <c r="O53" i="6"/>
  <c r="P52" i="6"/>
  <c r="P42" i="6"/>
  <c r="Q52" i="6"/>
  <c r="Q43" i="6" s="1"/>
  <c r="R52" i="6"/>
  <c r="R41" i="6"/>
  <c r="S52" i="6"/>
  <c r="S44" i="6" s="1"/>
  <c r="T52" i="6"/>
  <c r="T53" i="6" s="1"/>
  <c r="U52" i="6"/>
  <c r="U42" i="6"/>
  <c r="V52" i="6"/>
  <c r="V41" i="6"/>
  <c r="C64" i="6"/>
  <c r="D64" i="6"/>
  <c r="E64" i="6"/>
  <c r="F64" i="6"/>
  <c r="G64" i="6"/>
  <c r="H64" i="6"/>
  <c r="I64" i="6"/>
  <c r="I53" i="6"/>
  <c r="J64" i="6"/>
  <c r="J53" i="6"/>
  <c r="K64" i="6"/>
  <c r="L64" i="6"/>
  <c r="M64" i="6"/>
  <c r="N64" i="6"/>
  <c r="O64" i="6"/>
  <c r="O63" i="6"/>
  <c r="O65" i="6" s="1"/>
  <c r="O66" i="6" s="1"/>
  <c r="O67" i="6" s="1"/>
  <c r="O68" i="6"/>
  <c r="O69" i="6"/>
  <c r="O70" i="6"/>
  <c r="O71" i="6" s="1"/>
  <c r="O72" i="6" s="1"/>
  <c r="O73" i="6" s="1"/>
  <c r="O74" i="6" s="1"/>
  <c r="O75" i="6" s="1"/>
  <c r="P64" i="6"/>
  <c r="P53" i="6" s="1"/>
  <c r="Q64" i="6"/>
  <c r="R64" i="6"/>
  <c r="R53" i="6"/>
  <c r="S64" i="6"/>
  <c r="T64" i="6"/>
  <c r="U64" i="6"/>
  <c r="V64" i="6"/>
  <c r="V53" i="6"/>
  <c r="C77" i="6"/>
  <c r="D77" i="6"/>
  <c r="E77" i="6"/>
  <c r="F77" i="6"/>
  <c r="F87" i="6" s="1"/>
  <c r="G77" i="6"/>
  <c r="H77" i="6"/>
  <c r="I77" i="6"/>
  <c r="J77" i="6"/>
  <c r="K77" i="6"/>
  <c r="K85" i="6"/>
  <c r="L77" i="6"/>
  <c r="M77" i="6"/>
  <c r="N77" i="6"/>
  <c r="N86" i="6"/>
  <c r="O77" i="6"/>
  <c r="P77" i="6"/>
  <c r="Q77" i="6"/>
  <c r="R77" i="6"/>
  <c r="S77" i="6"/>
  <c r="S88" i="6"/>
  <c r="T77" i="6"/>
  <c r="U77" i="6"/>
  <c r="V77" i="6"/>
  <c r="C89" i="6"/>
  <c r="C78" i="6" s="1"/>
  <c r="D89" i="6"/>
  <c r="D78" i="6" s="1"/>
  <c r="E89" i="6"/>
  <c r="F89" i="6"/>
  <c r="G89" i="6"/>
  <c r="G88" i="6" s="1"/>
  <c r="G78" i="6"/>
  <c r="H89" i="6"/>
  <c r="I89" i="6"/>
  <c r="J89" i="6"/>
  <c r="K89" i="6"/>
  <c r="L89" i="6"/>
  <c r="M89" i="6"/>
  <c r="M78" i="6"/>
  <c r="N89" i="6"/>
  <c r="O89" i="6"/>
  <c r="P89" i="6"/>
  <c r="P88" i="6" s="1"/>
  <c r="Q89" i="6"/>
  <c r="Q78" i="6"/>
  <c r="R89" i="6"/>
  <c r="S89" i="6"/>
  <c r="S78" i="6"/>
  <c r="T89" i="6"/>
  <c r="T90" i="6" s="1"/>
  <c r="U89" i="6"/>
  <c r="U78" i="6"/>
  <c r="V89" i="6"/>
  <c r="C101" i="6"/>
  <c r="D101" i="6"/>
  <c r="D100" i="6" s="1"/>
  <c r="D90" i="6"/>
  <c r="E101" i="6"/>
  <c r="F101" i="6"/>
  <c r="G101" i="6"/>
  <c r="H101" i="6"/>
  <c r="H90" i="6"/>
  <c r="I101" i="6"/>
  <c r="J101" i="6"/>
  <c r="K101" i="6"/>
  <c r="K105" i="6" s="1"/>
  <c r="L101" i="6"/>
  <c r="L90" i="6"/>
  <c r="M101" i="6"/>
  <c r="N101" i="6"/>
  <c r="O101" i="6"/>
  <c r="O90" i="6" s="1"/>
  <c r="P101" i="6"/>
  <c r="Q101" i="6"/>
  <c r="R101" i="6"/>
  <c r="R90" i="6"/>
  <c r="S101" i="6"/>
  <c r="T101" i="6"/>
  <c r="U101" i="6"/>
  <c r="V101" i="6"/>
  <c r="V90" i="6"/>
  <c r="C113" i="6"/>
  <c r="D113" i="6"/>
  <c r="E113" i="6"/>
  <c r="E111" i="6" s="1"/>
  <c r="E102" i="6"/>
  <c r="F113" i="6"/>
  <c r="G113" i="6"/>
  <c r="G105" i="6"/>
  <c r="H113" i="6"/>
  <c r="I113" i="6"/>
  <c r="J113" i="6"/>
  <c r="K113" i="6"/>
  <c r="K124" i="6"/>
  <c r="L113" i="6"/>
  <c r="M113" i="6"/>
  <c r="N113" i="6"/>
  <c r="N107" i="6"/>
  <c r="O113" i="6"/>
  <c r="O104" i="6"/>
  <c r="P113" i="6"/>
  <c r="P116" i="6" s="1"/>
  <c r="P123" i="6"/>
  <c r="Q113" i="6"/>
  <c r="R113" i="6"/>
  <c r="R102" i="6" s="1"/>
  <c r="R106" i="6"/>
  <c r="S113" i="6"/>
  <c r="T113" i="6"/>
  <c r="T103" i="6"/>
  <c r="U113" i="6"/>
  <c r="V113" i="6"/>
  <c r="C125" i="6"/>
  <c r="C135" i="6" s="1"/>
  <c r="D125" i="6"/>
  <c r="D114" i="6"/>
  <c r="E125" i="6"/>
  <c r="F125" i="6"/>
  <c r="G125" i="6"/>
  <c r="G114" i="6" s="1"/>
  <c r="H125" i="6"/>
  <c r="H114" i="6"/>
  <c r="I125" i="6"/>
  <c r="J125" i="6"/>
  <c r="J132" i="6" s="1"/>
  <c r="K125" i="6"/>
  <c r="K114" i="6" s="1"/>
  <c r="L125" i="6"/>
  <c r="M125" i="6"/>
  <c r="N125" i="6"/>
  <c r="O125" i="6"/>
  <c r="P125" i="6"/>
  <c r="Q125" i="6"/>
  <c r="Q114" i="6"/>
  <c r="R125" i="6"/>
  <c r="S125" i="6"/>
  <c r="T125" i="6"/>
  <c r="U125" i="6"/>
  <c r="V125" i="6"/>
  <c r="C137" i="6"/>
  <c r="C132" i="6" s="1"/>
  <c r="D137" i="6"/>
  <c r="D136" i="6" s="1"/>
  <c r="E137" i="6"/>
  <c r="E133" i="6" s="1"/>
  <c r="F137" i="6"/>
  <c r="F126" i="6"/>
  <c r="G137" i="6"/>
  <c r="H137" i="6"/>
  <c r="H126" i="6"/>
  <c r="I137" i="6"/>
  <c r="I136" i="6" s="1"/>
  <c r="J137" i="6"/>
  <c r="J126" i="6"/>
  <c r="K137" i="6"/>
  <c r="L137" i="6"/>
  <c r="M137" i="6"/>
  <c r="N137" i="6"/>
  <c r="O137" i="6"/>
  <c r="P137" i="6"/>
  <c r="P126" i="6"/>
  <c r="Q137" i="6"/>
  <c r="R137" i="6"/>
  <c r="S137" i="6"/>
  <c r="S133" i="6" s="1"/>
  <c r="T137" i="6"/>
  <c r="T126" i="6"/>
  <c r="U137" i="6"/>
  <c r="U126" i="6"/>
  <c r="V137" i="6"/>
  <c r="V126" i="6"/>
  <c r="U136" i="6"/>
  <c r="U138" i="6"/>
  <c r="U139" i="6" s="1"/>
  <c r="U140" i="6" s="1"/>
  <c r="U141" i="6" s="1"/>
  <c r="U142" i="6"/>
  <c r="U143" i="6" s="1"/>
  <c r="U144" i="6" s="1"/>
  <c r="U145" i="6" s="1"/>
  <c r="U146" i="6"/>
  <c r="U147" i="6" s="1"/>
  <c r="U148" i="6" s="1"/>
  <c r="U135" i="6"/>
  <c r="U134" i="6"/>
  <c r="M134" i="6"/>
  <c r="M133" i="6"/>
  <c r="U131" i="6"/>
  <c r="M131" i="6"/>
  <c r="U130" i="6"/>
  <c r="U129" i="6"/>
  <c r="Q129" i="6"/>
  <c r="U128" i="6"/>
  <c r="U127" i="6"/>
  <c r="E127" i="6"/>
  <c r="Q124" i="6"/>
  <c r="Q123" i="6"/>
  <c r="M123" i="6"/>
  <c r="I123" i="6"/>
  <c r="I122" i="6"/>
  <c r="Q121" i="6"/>
  <c r="M121" i="6"/>
  <c r="Q120" i="6"/>
  <c r="M120" i="6"/>
  <c r="I120" i="6"/>
  <c r="M119" i="6"/>
  <c r="I119" i="6"/>
  <c r="Q118" i="6"/>
  <c r="I118" i="6"/>
  <c r="M117" i="6"/>
  <c r="Q116" i="6"/>
  <c r="M116" i="6"/>
  <c r="M115" i="6"/>
  <c r="U103" i="6"/>
  <c r="Q102" i="6"/>
  <c r="M103" i="6"/>
  <c r="I103" i="6"/>
  <c r="I104" i="6"/>
  <c r="U112" i="6"/>
  <c r="I112" i="6"/>
  <c r="I111" i="6"/>
  <c r="U110" i="6"/>
  <c r="I110" i="6"/>
  <c r="U109" i="6"/>
  <c r="U108" i="6"/>
  <c r="Q108" i="6"/>
  <c r="I108" i="6"/>
  <c r="F107" i="6"/>
  <c r="H136" i="6"/>
  <c r="P135" i="6"/>
  <c r="T134" i="6"/>
  <c r="P133" i="6"/>
  <c r="T132" i="6"/>
  <c r="P132" i="6"/>
  <c r="P131" i="6"/>
  <c r="P130" i="6"/>
  <c r="P129" i="6"/>
  <c r="P127" i="6"/>
  <c r="T120" i="6"/>
  <c r="H117" i="6"/>
  <c r="T102" i="6"/>
  <c r="T105" i="6"/>
  <c r="T106" i="6"/>
  <c r="P102" i="6"/>
  <c r="P106" i="6"/>
  <c r="L102" i="6"/>
  <c r="L103" i="6"/>
  <c r="L104" i="6"/>
  <c r="L106" i="6"/>
  <c r="L107" i="6"/>
  <c r="D105" i="6"/>
  <c r="T112" i="6"/>
  <c r="L111" i="6"/>
  <c r="T110" i="6"/>
  <c r="P110" i="6"/>
  <c r="L110" i="6"/>
  <c r="D110" i="6"/>
  <c r="T109" i="6"/>
  <c r="P109" i="6"/>
  <c r="L109" i="6"/>
  <c r="L108" i="6"/>
  <c r="K136" i="6"/>
  <c r="S135" i="6"/>
  <c r="G135" i="6"/>
  <c r="O134" i="6"/>
  <c r="O133" i="6"/>
  <c r="K133" i="6"/>
  <c r="S130" i="6"/>
  <c r="K130" i="6"/>
  <c r="O129" i="6"/>
  <c r="K127" i="6"/>
  <c r="C127" i="6"/>
  <c r="O121" i="6"/>
  <c r="O117" i="6"/>
  <c r="O115" i="6"/>
  <c r="O103" i="6"/>
  <c r="O107" i="6"/>
  <c r="S112" i="6"/>
  <c r="F136" i="6"/>
  <c r="F135" i="6"/>
  <c r="J134" i="6"/>
  <c r="R133" i="6"/>
  <c r="N132" i="6"/>
  <c r="R131" i="6"/>
  <c r="R130" i="6"/>
  <c r="J130" i="6"/>
  <c r="R129" i="6"/>
  <c r="J128" i="6"/>
  <c r="F127" i="6"/>
  <c r="J124" i="6"/>
  <c r="J121" i="6"/>
  <c r="N120" i="6"/>
  <c r="N118" i="6"/>
  <c r="J117" i="6"/>
  <c r="V116" i="6"/>
  <c r="J115" i="6"/>
  <c r="J102" i="6"/>
  <c r="J103" i="6"/>
  <c r="J105" i="6"/>
  <c r="N111" i="6"/>
  <c r="J111" i="6"/>
  <c r="V110" i="6"/>
  <c r="J110" i="6"/>
  <c r="N109" i="6"/>
  <c r="F109" i="6"/>
  <c r="J108" i="6"/>
  <c r="N106" i="6"/>
  <c r="V100" i="6"/>
  <c r="R100" i="6"/>
  <c r="F100" i="6"/>
  <c r="R99" i="6"/>
  <c r="R98" i="6"/>
  <c r="R97" i="6"/>
  <c r="J97" i="6"/>
  <c r="R96" i="6"/>
  <c r="J95" i="6"/>
  <c r="R94" i="6"/>
  <c r="J94" i="6"/>
  <c r="R93" i="6"/>
  <c r="J93" i="6"/>
  <c r="F93" i="6"/>
  <c r="R92" i="6"/>
  <c r="R91" i="6"/>
  <c r="N91" i="6"/>
  <c r="J88" i="6"/>
  <c r="N87" i="6"/>
  <c r="V86" i="6"/>
  <c r="F86" i="6"/>
  <c r="F83" i="6"/>
  <c r="J82" i="6"/>
  <c r="F82" i="6"/>
  <c r="N80" i="6"/>
  <c r="N79" i="6"/>
  <c r="U100" i="6"/>
  <c r="U99" i="6"/>
  <c r="U98" i="6"/>
  <c r="M97" i="6"/>
  <c r="U96" i="6"/>
  <c r="U95" i="6"/>
  <c r="U94" i="6"/>
  <c r="U93" i="6"/>
  <c r="M92" i="6"/>
  <c r="U91" i="6"/>
  <c r="U88" i="6"/>
  <c r="M88" i="6"/>
  <c r="U87" i="6"/>
  <c r="Q87" i="6"/>
  <c r="M87" i="6"/>
  <c r="U86" i="6"/>
  <c r="M86" i="6"/>
  <c r="U85" i="6"/>
  <c r="M85" i="6"/>
  <c r="U84" i="6"/>
  <c r="M84" i="6"/>
  <c r="U83" i="6"/>
  <c r="M83" i="6"/>
  <c r="U82" i="6"/>
  <c r="Q82" i="6"/>
  <c r="M82" i="6"/>
  <c r="U81" i="6"/>
  <c r="M81" i="6"/>
  <c r="U80" i="6"/>
  <c r="M80" i="6"/>
  <c r="U79" i="6"/>
  <c r="M79" i="6"/>
  <c r="H100" i="6"/>
  <c r="H99" i="6"/>
  <c r="D99" i="6"/>
  <c r="T98" i="6"/>
  <c r="H98" i="6"/>
  <c r="D98" i="6"/>
  <c r="H96" i="6"/>
  <c r="T95" i="6"/>
  <c r="D95" i="6"/>
  <c r="T94" i="6"/>
  <c r="P94" i="6"/>
  <c r="D94" i="6"/>
  <c r="T92" i="6"/>
  <c r="H92" i="6"/>
  <c r="D92" i="6"/>
  <c r="H91" i="6"/>
  <c r="L88" i="6"/>
  <c r="H88" i="6"/>
  <c r="L87" i="6"/>
  <c r="H87" i="6"/>
  <c r="D87" i="6"/>
  <c r="P86" i="6"/>
  <c r="H86" i="6"/>
  <c r="D85" i="6"/>
  <c r="H84" i="6"/>
  <c r="D83" i="6"/>
  <c r="H82" i="6"/>
  <c r="H80" i="6"/>
  <c r="D79" i="6"/>
  <c r="S53" i="6"/>
  <c r="S55" i="6"/>
  <c r="S56" i="6"/>
  <c r="S57" i="6"/>
  <c r="S59" i="6"/>
  <c r="S60" i="6"/>
  <c r="S61" i="6"/>
  <c r="O55" i="6"/>
  <c r="O56" i="6"/>
  <c r="O59" i="6"/>
  <c r="K56" i="6"/>
  <c r="K60" i="6"/>
  <c r="G62" i="6"/>
  <c r="G100" i="6"/>
  <c r="G98" i="6"/>
  <c r="O97" i="6"/>
  <c r="G97" i="6"/>
  <c r="G96" i="6"/>
  <c r="G95" i="6"/>
  <c r="S94" i="6"/>
  <c r="O93" i="6"/>
  <c r="G93" i="6"/>
  <c r="G92" i="6"/>
  <c r="S85" i="6"/>
  <c r="S81" i="6"/>
  <c r="S63" i="6"/>
  <c r="S65" i="6" s="1"/>
  <c r="S66" i="6" s="1"/>
  <c r="S67" i="6" s="1"/>
  <c r="S68" i="6" s="1"/>
  <c r="S69" i="6" s="1"/>
  <c r="S70" i="6"/>
  <c r="S71" i="6" s="1"/>
  <c r="S72" i="6"/>
  <c r="S73" i="6" s="1"/>
  <c r="S74" i="6" s="1"/>
  <c r="S75" i="6" s="1"/>
  <c r="I63" i="6"/>
  <c r="Q61" i="6"/>
  <c r="Q60" i="6"/>
  <c r="Q58" i="6"/>
  <c r="Q56" i="6"/>
  <c r="Q51" i="6"/>
  <c r="Q50" i="6"/>
  <c r="Q49" i="6"/>
  <c r="Q48" i="6"/>
  <c r="Q47" i="6"/>
  <c r="Q46" i="6"/>
  <c r="Q45" i="6"/>
  <c r="I45" i="6"/>
  <c r="O43" i="6"/>
  <c r="E43" i="6"/>
  <c r="S42" i="6"/>
  <c r="U41" i="6"/>
  <c r="Q35" i="6"/>
  <c r="O30" i="6"/>
  <c r="S29" i="6"/>
  <c r="T63" i="6"/>
  <c r="T65" i="6"/>
  <c r="T66" i="6" s="1"/>
  <c r="T67" i="6" s="1"/>
  <c r="T68" i="6" s="1"/>
  <c r="T69" i="6"/>
  <c r="T70" i="6"/>
  <c r="T71" i="6" s="1"/>
  <c r="T72" i="6" s="1"/>
  <c r="T73" i="6" s="1"/>
  <c r="T74" i="6" s="1"/>
  <c r="T75" i="6" s="1"/>
  <c r="T62" i="6"/>
  <c r="T61" i="6"/>
  <c r="P61" i="6"/>
  <c r="L61" i="6"/>
  <c r="T60" i="6"/>
  <c r="T59" i="6"/>
  <c r="T58" i="6"/>
  <c r="T57" i="6"/>
  <c r="L57" i="6"/>
  <c r="T56" i="6"/>
  <c r="P56" i="6"/>
  <c r="T55" i="6"/>
  <c r="H55" i="6"/>
  <c r="T54" i="6"/>
  <c r="T41" i="6"/>
  <c r="T42" i="6"/>
  <c r="T43" i="6"/>
  <c r="D41" i="6"/>
  <c r="D42" i="6"/>
  <c r="T51" i="6"/>
  <c r="T50" i="6"/>
  <c r="D50" i="6"/>
  <c r="T49" i="6"/>
  <c r="H49" i="6"/>
  <c r="D49" i="6"/>
  <c r="T48" i="6"/>
  <c r="H48" i="6"/>
  <c r="T47" i="6"/>
  <c r="T46" i="6"/>
  <c r="T45" i="6"/>
  <c r="P45" i="6"/>
  <c r="D45" i="6"/>
  <c r="T44" i="6"/>
  <c r="R42" i="6"/>
  <c r="O39" i="6"/>
  <c r="S38" i="6"/>
  <c r="G37" i="6"/>
  <c r="O35" i="6"/>
  <c r="S34" i="6"/>
  <c r="O33" i="6"/>
  <c r="G31" i="6"/>
  <c r="S51" i="6"/>
  <c r="O51" i="6"/>
  <c r="G51" i="6"/>
  <c r="S50" i="6"/>
  <c r="S48" i="6"/>
  <c r="O48" i="6"/>
  <c r="S47" i="6"/>
  <c r="O47" i="6"/>
  <c r="G47" i="6"/>
  <c r="O46" i="6"/>
  <c r="K46" i="6"/>
  <c r="G46" i="6"/>
  <c r="O45" i="6"/>
  <c r="G43" i="6"/>
  <c r="Q41" i="6"/>
  <c r="V63" i="6"/>
  <c r="V65" i="6"/>
  <c r="V66" i="6"/>
  <c r="V67" i="6" s="1"/>
  <c r="V68" i="6" s="1"/>
  <c r="V69" i="6" s="1"/>
  <c r="V70" i="6" s="1"/>
  <c r="V71" i="6" s="1"/>
  <c r="V72" i="6" s="1"/>
  <c r="V73" i="6" s="1"/>
  <c r="V74" i="6" s="1"/>
  <c r="V75" i="6" s="1"/>
  <c r="R63" i="6"/>
  <c r="R65" i="6"/>
  <c r="R66" i="6"/>
  <c r="R67" i="6" s="1"/>
  <c r="R68" i="6" s="1"/>
  <c r="R69" i="6" s="1"/>
  <c r="R70" i="6"/>
  <c r="R71" i="6" s="1"/>
  <c r="R72" i="6"/>
  <c r="R73" i="6" s="1"/>
  <c r="R74" i="6" s="1"/>
  <c r="R75" i="6" s="1"/>
  <c r="J63" i="6"/>
  <c r="F63" i="6"/>
  <c r="V62" i="6"/>
  <c r="R62" i="6"/>
  <c r="N62" i="6"/>
  <c r="J62" i="6"/>
  <c r="V61" i="6"/>
  <c r="R61" i="6"/>
  <c r="N61" i="6"/>
  <c r="V60" i="6"/>
  <c r="R60" i="6"/>
  <c r="V59" i="6"/>
  <c r="R59" i="6"/>
  <c r="V58" i="6"/>
  <c r="R58" i="6"/>
  <c r="V57" i="6"/>
  <c r="R57" i="6"/>
  <c r="N57" i="6"/>
  <c r="J57" i="6"/>
  <c r="V56" i="6"/>
  <c r="R56" i="6"/>
  <c r="N56" i="6"/>
  <c r="J56" i="6"/>
  <c r="V55" i="6"/>
  <c r="R55" i="6"/>
  <c r="N55" i="6"/>
  <c r="J55" i="6"/>
  <c r="V54" i="6"/>
  <c r="R54" i="6"/>
  <c r="N54" i="6"/>
  <c r="J54" i="6"/>
  <c r="F54" i="6"/>
  <c r="V51" i="6"/>
  <c r="V50" i="6"/>
  <c r="N50" i="6"/>
  <c r="V49" i="6"/>
  <c r="V48" i="6"/>
  <c r="R48" i="6"/>
  <c r="V47" i="6"/>
  <c r="V46" i="6"/>
  <c r="N46" i="6"/>
  <c r="V45" i="6"/>
  <c r="V44" i="6"/>
  <c r="V43" i="6"/>
  <c r="U31" i="6"/>
  <c r="Q30" i="6"/>
  <c r="Q31" i="6"/>
  <c r="Q32" i="6"/>
  <c r="I30" i="6"/>
  <c r="I33" i="6"/>
  <c r="E31" i="6"/>
  <c r="O38" i="6"/>
  <c r="S37" i="6"/>
  <c r="K37" i="6"/>
  <c r="O36" i="6"/>
  <c r="S35" i="6"/>
  <c r="G33" i="6"/>
  <c r="T38" i="6"/>
  <c r="T37" i="6"/>
  <c r="D35" i="6"/>
  <c r="T34" i="6"/>
  <c r="P34" i="6"/>
  <c r="D34" i="6"/>
  <c r="T33" i="6"/>
  <c r="T32" i="6"/>
  <c r="T19" i="6"/>
  <c r="T23" i="6"/>
  <c r="T20" i="6"/>
  <c r="L17" i="6"/>
  <c r="H21" i="6"/>
  <c r="H19" i="6"/>
  <c r="D22" i="6"/>
  <c r="D24" i="6"/>
  <c r="T6" i="6"/>
  <c r="T7" i="6"/>
  <c r="T10" i="6"/>
  <c r="T11" i="6"/>
  <c r="T14" i="6"/>
  <c r="T15" i="6"/>
  <c r="P5" i="6"/>
  <c r="P9" i="6"/>
  <c r="P13" i="6"/>
  <c r="H13" i="6"/>
  <c r="D13" i="6"/>
  <c r="D15" i="6"/>
  <c r="U13" i="6"/>
  <c r="U10" i="6"/>
  <c r="Q10" i="6"/>
  <c r="M7" i="6"/>
  <c r="M10" i="6"/>
  <c r="I7" i="6"/>
  <c r="E5" i="6"/>
  <c r="E9" i="6"/>
  <c r="N39" i="6"/>
  <c r="V38" i="6"/>
  <c r="V35" i="6"/>
  <c r="N35" i="6"/>
  <c r="V32" i="6"/>
  <c r="N31" i="6"/>
  <c r="V30" i="6"/>
  <c r="V25" i="6"/>
  <c r="V21" i="6"/>
  <c r="R24" i="6"/>
  <c r="R25" i="6"/>
  <c r="N18" i="6"/>
  <c r="N25" i="6"/>
  <c r="N17" i="6"/>
  <c r="N23" i="6"/>
  <c r="D25" i="6"/>
  <c r="H24" i="6"/>
  <c r="D21" i="6"/>
  <c r="I50" i="1"/>
  <c r="M52" i="1"/>
  <c r="H50" i="1"/>
  <c r="U19" i="6"/>
  <c r="U20" i="6"/>
  <c r="U23" i="6"/>
  <c r="Q19" i="6"/>
  <c r="Q23" i="6"/>
  <c r="M17" i="6"/>
  <c r="M21" i="6"/>
  <c r="M23" i="6"/>
  <c r="E21" i="6"/>
  <c r="U27" i="6"/>
  <c r="Q27" i="6"/>
  <c r="I26" i="6"/>
  <c r="U25" i="6"/>
  <c r="M25" i="6"/>
  <c r="E25" i="6"/>
  <c r="U24" i="6"/>
  <c r="S23" i="6"/>
  <c r="S19" i="6"/>
  <c r="C19" i="6"/>
  <c r="U7" i="6"/>
  <c r="S15" i="6"/>
  <c r="R14" i="6"/>
  <c r="C13" i="6"/>
  <c r="N11" i="6"/>
  <c r="R8" i="6"/>
  <c r="S27" i="6"/>
  <c r="O27" i="6"/>
  <c r="K27" i="6"/>
  <c r="C27" i="6"/>
  <c r="S26" i="6"/>
  <c r="O26" i="6"/>
  <c r="K26" i="6"/>
  <c r="C26" i="6"/>
  <c r="S25" i="6"/>
  <c r="O25" i="6"/>
  <c r="S24" i="6"/>
  <c r="O22" i="6"/>
  <c r="S21" i="6"/>
  <c r="K19" i="6"/>
  <c r="S17" i="6"/>
  <c r="S6" i="6"/>
  <c r="S10" i="6"/>
  <c r="S5" i="6"/>
  <c r="O7" i="6"/>
  <c r="O6" i="6"/>
  <c r="K8" i="6"/>
  <c r="G13" i="6"/>
  <c r="C6" i="6"/>
  <c r="C10" i="6"/>
  <c r="C14" i="6"/>
  <c r="C5" i="6"/>
  <c r="O14" i="6"/>
  <c r="N13" i="6"/>
  <c r="S12" i="6"/>
  <c r="R11" i="6"/>
  <c r="K11" i="6"/>
  <c r="C11" i="6"/>
  <c r="S7" i="6"/>
  <c r="O23" i="6"/>
  <c r="S22" i="6"/>
  <c r="C22" i="6"/>
  <c r="R5" i="6"/>
  <c r="R9" i="6"/>
  <c r="R13" i="6"/>
  <c r="N14" i="6"/>
  <c r="N5" i="6"/>
  <c r="V15" i="6"/>
  <c r="R12" i="6"/>
  <c r="F9" i="6"/>
  <c r="S8" i="6"/>
  <c r="R7" i="6"/>
  <c r="C7" i="6"/>
  <c r="O5" i="6"/>
  <c r="T49" i="1"/>
  <c r="T50" i="1"/>
  <c r="Q13" i="1"/>
  <c r="D23" i="1"/>
  <c r="T19" i="1"/>
  <c r="E23" i="1"/>
  <c r="G24" i="1"/>
  <c r="Q21" i="1"/>
  <c r="E24" i="1"/>
  <c r="J24" i="1"/>
  <c r="F24" i="1"/>
  <c r="J16" i="1"/>
  <c r="K16" i="1"/>
  <c r="U15" i="6"/>
  <c r="E15" i="6"/>
  <c r="M13" i="6"/>
  <c r="Q12" i="6"/>
  <c r="J22" i="1"/>
  <c r="G20" i="1"/>
  <c r="Q17" i="1" s="1"/>
  <c r="O50" i="1"/>
  <c r="N52" i="1"/>
  <c r="K50" i="1"/>
  <c r="E50" i="1"/>
  <c r="E25" i="1"/>
  <c r="D50" i="1"/>
  <c r="L50" i="1"/>
  <c r="F50" i="1"/>
  <c r="E22" i="1"/>
  <c r="J50" i="1"/>
  <c r="G50" i="1"/>
  <c r="M50" i="1"/>
  <c r="O52" i="1"/>
  <c r="J19" i="1"/>
  <c r="F26" i="1"/>
  <c r="G25" i="1"/>
  <c r="Q22" i="1"/>
  <c r="I23" i="1"/>
  <c r="I21" i="1"/>
  <c r="J20" i="1"/>
  <c r="I19" i="1"/>
  <c r="E26" i="1"/>
  <c r="F21" i="1"/>
  <c r="I20" i="1"/>
  <c r="E19" i="1"/>
  <c r="T52" i="1"/>
  <c r="V52" i="1" s="1"/>
  <c r="S47" i="1" s="1"/>
  <c r="J26" i="1"/>
  <c r="E21" i="1"/>
  <c r="Q18" i="1"/>
  <c r="T34" i="1"/>
  <c r="J21" i="1"/>
  <c r="G23" i="1"/>
  <c r="T37" i="1" s="1"/>
  <c r="G22" i="1"/>
  <c r="E20" i="1"/>
  <c r="V84" i="6"/>
  <c r="V115" i="6"/>
  <c r="V120" i="6"/>
  <c r="V129" i="6"/>
  <c r="V83" i="6"/>
  <c r="V85" i="6"/>
  <c r="V95" i="6"/>
  <c r="V96" i="6"/>
  <c r="V111" i="6"/>
  <c r="V103" i="6"/>
  <c r="V128" i="6"/>
  <c r="V130" i="6"/>
  <c r="V106" i="6"/>
  <c r="V79" i="6"/>
  <c r="V80" i="6"/>
  <c r="V81" i="6"/>
  <c r="V82" i="6"/>
  <c r="V88" i="6"/>
  <c r="V91" i="6"/>
  <c r="V94" i="6"/>
  <c r="V97" i="6"/>
  <c r="V98" i="6"/>
  <c r="V99" i="6"/>
  <c r="V118" i="6"/>
  <c r="V122" i="6"/>
  <c r="V127" i="6"/>
  <c r="V131" i="6"/>
  <c r="V132" i="6"/>
  <c r="V133" i="6"/>
  <c r="V134" i="6"/>
  <c r="V135" i="6"/>
  <c r="V136" i="6"/>
  <c r="V138" i="6" s="1"/>
  <c r="V139" i="6" s="1"/>
  <c r="V140" i="6"/>
  <c r="V141" i="6"/>
  <c r="V142" i="6" s="1"/>
  <c r="V143" i="6" s="1"/>
  <c r="V144" i="6" s="1"/>
  <c r="V145" i="6" s="1"/>
  <c r="V146" i="6" s="1"/>
  <c r="V147" i="6" s="1"/>
  <c r="V148" i="6" s="1"/>
  <c r="T79" i="6"/>
  <c r="T84" i="6"/>
  <c r="T91" i="6"/>
  <c r="T96" i="6"/>
  <c r="T100" i="6"/>
  <c r="T108" i="6"/>
  <c r="T104" i="6"/>
  <c r="T116" i="6"/>
  <c r="T118" i="6"/>
  <c r="T123" i="6"/>
  <c r="T129" i="6"/>
  <c r="T131" i="6"/>
  <c r="T136" i="6"/>
  <c r="T138" i="6" s="1"/>
  <c r="T139" i="6" s="1"/>
  <c r="T140" i="6" s="1"/>
  <c r="T141" i="6" s="1"/>
  <c r="T142" i="6" s="1"/>
  <c r="T143" i="6" s="1"/>
  <c r="T144" i="6" s="1"/>
  <c r="T145" i="6" s="1"/>
  <c r="T146" i="6" s="1"/>
  <c r="T147" i="6" s="1"/>
  <c r="T148" i="6" s="1"/>
  <c r="T81" i="6"/>
  <c r="T88" i="6"/>
  <c r="T99" i="6"/>
  <c r="T111" i="6"/>
  <c r="T107" i="6"/>
  <c r="T115" i="6"/>
  <c r="T121" i="6"/>
  <c r="T124" i="6"/>
  <c r="T133" i="6"/>
  <c r="T135" i="6"/>
  <c r="T117" i="6"/>
  <c r="T119" i="6"/>
  <c r="T128" i="6"/>
  <c r="T130" i="6"/>
  <c r="R83" i="6"/>
  <c r="R105" i="6"/>
  <c r="R108" i="6"/>
  <c r="R115" i="6"/>
  <c r="R117" i="6"/>
  <c r="R118" i="6"/>
  <c r="R119" i="6"/>
  <c r="R120" i="6"/>
  <c r="R121" i="6"/>
  <c r="R107" i="6"/>
  <c r="R87" i="6"/>
  <c r="R109" i="6"/>
  <c r="R110" i="6"/>
  <c r="R111" i="6"/>
  <c r="R112" i="6"/>
  <c r="R104" i="6"/>
  <c r="R124" i="6"/>
  <c r="R103" i="6"/>
  <c r="R123" i="6"/>
  <c r="P79" i="6"/>
  <c r="P108" i="6"/>
  <c r="P112" i="6"/>
  <c r="P105" i="6"/>
  <c r="P115" i="6"/>
  <c r="P119" i="6"/>
  <c r="P122" i="6"/>
  <c r="P124" i="6"/>
  <c r="P114" i="6"/>
  <c r="P90" i="6"/>
  <c r="P82" i="6"/>
  <c r="P104" i="6"/>
  <c r="P118" i="6"/>
  <c r="P121" i="6"/>
  <c r="P96" i="6"/>
  <c r="P111" i="6"/>
  <c r="P107" i="6"/>
  <c r="P103" i="6"/>
  <c r="P117" i="6"/>
  <c r="P120" i="6"/>
  <c r="N93" i="6"/>
  <c r="N94" i="6"/>
  <c r="N95" i="6"/>
  <c r="N104" i="6"/>
  <c r="N121" i="6"/>
  <c r="N122" i="6"/>
  <c r="N123" i="6"/>
  <c r="N124" i="6"/>
  <c r="N134" i="6"/>
  <c r="N114" i="6"/>
  <c r="N85" i="6"/>
  <c r="N96" i="6"/>
  <c r="N103" i="6"/>
  <c r="N129" i="6"/>
  <c r="N108" i="6"/>
  <c r="N102" i="6"/>
  <c r="N115" i="6"/>
  <c r="N116" i="6"/>
  <c r="L79" i="6"/>
  <c r="L80" i="6"/>
  <c r="L81" i="6"/>
  <c r="L82" i="6"/>
  <c r="L92" i="6"/>
  <c r="L93" i="6"/>
  <c r="L99" i="6"/>
  <c r="L127" i="6"/>
  <c r="L83" i="6"/>
  <c r="L84" i="6"/>
  <c r="L94" i="6"/>
  <c r="L112" i="6"/>
  <c r="L105" i="6"/>
  <c r="L120" i="6"/>
  <c r="L134" i="6"/>
  <c r="L85" i="6"/>
  <c r="L86" i="6"/>
  <c r="L95" i="6"/>
  <c r="L96" i="6"/>
  <c r="L97" i="6"/>
  <c r="L118" i="6"/>
  <c r="L119" i="6"/>
  <c r="J83" i="6"/>
  <c r="J84" i="6"/>
  <c r="J85" i="6"/>
  <c r="H119" i="6"/>
  <c r="H120" i="6"/>
  <c r="H123" i="6"/>
  <c r="H124" i="6"/>
  <c r="H127" i="6"/>
  <c r="H128" i="6"/>
  <c r="H129" i="6"/>
  <c r="H130" i="6"/>
  <c r="H131" i="6"/>
  <c r="H132" i="6"/>
  <c r="H133" i="6"/>
  <c r="H134" i="6"/>
  <c r="H135" i="6"/>
  <c r="H109" i="6"/>
  <c r="H105" i="6"/>
  <c r="H112" i="6"/>
  <c r="H138" i="6"/>
  <c r="H139" i="6" s="1"/>
  <c r="H140" i="6" s="1"/>
  <c r="H141" i="6"/>
  <c r="H142" i="6" s="1"/>
  <c r="H143" i="6" s="1"/>
  <c r="H144" i="6" s="1"/>
  <c r="H145" i="6" s="1"/>
  <c r="H146" i="6" s="1"/>
  <c r="H147" i="6" s="1"/>
  <c r="H148" i="6" s="1"/>
  <c r="F80" i="6"/>
  <c r="F84" i="6"/>
  <c r="F88" i="6"/>
  <c r="F94" i="6"/>
  <c r="F98" i="6"/>
  <c r="F110" i="6"/>
  <c r="F104" i="6"/>
  <c r="F118" i="6"/>
  <c r="F122" i="6"/>
  <c r="F128" i="6"/>
  <c r="F132" i="6"/>
  <c r="F81" i="6"/>
  <c r="F85" i="6"/>
  <c r="F91" i="6"/>
  <c r="F95" i="6"/>
  <c r="F99" i="6"/>
  <c r="F111" i="6"/>
  <c r="F103" i="6"/>
  <c r="F115" i="6"/>
  <c r="F119" i="6"/>
  <c r="F123" i="6"/>
  <c r="F129" i="6"/>
  <c r="F133" i="6"/>
  <c r="F108" i="6"/>
  <c r="F112" i="6"/>
  <c r="F102" i="6"/>
  <c r="F116" i="6"/>
  <c r="F120" i="6"/>
  <c r="F124" i="6"/>
  <c r="V5" i="6"/>
  <c r="V11" i="6"/>
  <c r="V18" i="6"/>
  <c r="V17" i="6"/>
  <c r="V24" i="6"/>
  <c r="V33" i="6"/>
  <c r="V36" i="6"/>
  <c r="V39" i="6"/>
  <c r="V10" i="6"/>
  <c r="V12" i="6"/>
  <c r="V14" i="6"/>
  <c r="V6" i="6"/>
  <c r="V23" i="6"/>
  <c r="V20" i="6"/>
  <c r="V31" i="6"/>
  <c r="V34" i="6"/>
  <c r="V37" i="6"/>
  <c r="V26" i="6"/>
  <c r="V13" i="6"/>
  <c r="V8" i="6"/>
  <c r="V27" i="6"/>
  <c r="V19" i="6"/>
  <c r="V9" i="6"/>
  <c r="T17" i="6"/>
  <c r="T13" i="6"/>
  <c r="T9" i="6"/>
  <c r="T5" i="6"/>
  <c r="T22" i="6"/>
  <c r="T30" i="6"/>
  <c r="T35" i="6"/>
  <c r="T39" i="6"/>
  <c r="T25" i="6"/>
  <c r="T12" i="6"/>
  <c r="T18" i="6"/>
  <c r="T31" i="6"/>
  <c r="T36" i="6"/>
  <c r="T24" i="6"/>
  <c r="R45" i="6"/>
  <c r="R50" i="6"/>
  <c r="R6" i="6"/>
  <c r="R10" i="6"/>
  <c r="R39" i="6"/>
  <c r="R47" i="6"/>
  <c r="R49" i="6"/>
  <c r="R44" i="6"/>
  <c r="R51" i="6"/>
  <c r="P12" i="6"/>
  <c r="P8" i="6"/>
  <c r="P33" i="6"/>
  <c r="P44" i="6"/>
  <c r="P47" i="6"/>
  <c r="P51" i="6"/>
  <c r="P43" i="6"/>
  <c r="P58" i="6"/>
  <c r="P60" i="6"/>
  <c r="P15" i="6"/>
  <c r="P11" i="6"/>
  <c r="P7" i="6"/>
  <c r="P55" i="6"/>
  <c r="P62" i="6"/>
  <c r="P14" i="6"/>
  <c r="P10" i="6"/>
  <c r="P6" i="6"/>
  <c r="P39" i="6"/>
  <c r="P46" i="6"/>
  <c r="P50" i="6"/>
  <c r="P41" i="6"/>
  <c r="P54" i="6"/>
  <c r="P57" i="6"/>
  <c r="P59" i="6"/>
  <c r="P63" i="6"/>
  <c r="P65" i="6"/>
  <c r="P66" i="6" s="1"/>
  <c r="P67" i="6" s="1"/>
  <c r="P68" i="6" s="1"/>
  <c r="P69" i="6" s="1"/>
  <c r="P70" i="6" s="1"/>
  <c r="P71" i="6" s="1"/>
  <c r="P72" i="6" s="1"/>
  <c r="P73" i="6" s="1"/>
  <c r="P74" i="6" s="1"/>
  <c r="P75" i="6" s="1"/>
  <c r="N15" i="6"/>
  <c r="N10" i="6"/>
  <c r="N27" i="6"/>
  <c r="N19" i="6"/>
  <c r="N24" i="6"/>
  <c r="N34" i="6"/>
  <c r="N38" i="6"/>
  <c r="N45" i="6"/>
  <c r="N49" i="6"/>
  <c r="N43" i="6"/>
  <c r="N41" i="6"/>
  <c r="N9" i="6"/>
  <c r="N6" i="6"/>
  <c r="N21" i="6"/>
  <c r="N22" i="6"/>
  <c r="N33" i="6"/>
  <c r="N37" i="6"/>
  <c r="N29" i="6"/>
  <c r="N44" i="6"/>
  <c r="N48" i="6"/>
  <c r="N42" i="6"/>
  <c r="N32" i="6"/>
  <c r="N36" i="6"/>
  <c r="N26" i="6"/>
  <c r="N47" i="6"/>
  <c r="N51" i="6"/>
  <c r="N8" i="6"/>
  <c r="N12" i="6"/>
  <c r="L13" i="6"/>
  <c r="L25" i="6"/>
  <c r="L36" i="6"/>
  <c r="L56" i="6"/>
  <c r="L60" i="6"/>
  <c r="L54" i="6"/>
  <c r="L55" i="6"/>
  <c r="L59" i="6"/>
  <c r="L58" i="6"/>
  <c r="L62" i="6"/>
  <c r="J33" i="6"/>
  <c r="J12" i="6"/>
  <c r="J6" i="6"/>
  <c r="J15" i="6"/>
  <c r="J46" i="6"/>
  <c r="J47" i="6"/>
  <c r="J48" i="6"/>
  <c r="J49" i="6"/>
  <c r="J50" i="6"/>
  <c r="H10" i="6"/>
  <c r="H22" i="6"/>
  <c r="H38" i="6"/>
  <c r="H8" i="6"/>
  <c r="H23" i="6"/>
  <c r="H18" i="6"/>
  <c r="H5" i="6"/>
  <c r="F31" i="6"/>
  <c r="F39" i="6"/>
  <c r="F15" i="6"/>
  <c r="F35" i="6"/>
  <c r="F22" i="6"/>
  <c r="U106" i="6"/>
  <c r="U102" i="6"/>
  <c r="U115" i="6"/>
  <c r="U116" i="6"/>
  <c r="U117" i="6"/>
  <c r="U118" i="6"/>
  <c r="U119" i="6"/>
  <c r="U120" i="6"/>
  <c r="U121" i="6"/>
  <c r="U122" i="6"/>
  <c r="U123" i="6"/>
  <c r="U124" i="6"/>
  <c r="U114" i="6"/>
  <c r="S82" i="6"/>
  <c r="S86" i="6"/>
  <c r="S91" i="6"/>
  <c r="S98" i="6"/>
  <c r="S100" i="6"/>
  <c r="S109" i="6"/>
  <c r="S119" i="6"/>
  <c r="S122" i="6"/>
  <c r="S129" i="6"/>
  <c r="S132" i="6"/>
  <c r="S136" i="6"/>
  <c r="S138" i="6"/>
  <c r="S139" i="6" s="1"/>
  <c r="S140" i="6" s="1"/>
  <c r="S141" i="6"/>
  <c r="S142" i="6" s="1"/>
  <c r="S143" i="6" s="1"/>
  <c r="S144" i="6" s="1"/>
  <c r="S145" i="6" s="1"/>
  <c r="S146" i="6" s="1"/>
  <c r="S147" i="6" s="1"/>
  <c r="S148" i="6" s="1"/>
  <c r="S126" i="6"/>
  <c r="S79" i="6"/>
  <c r="S83" i="6"/>
  <c r="S87" i="6"/>
  <c r="S93" i="6"/>
  <c r="S95" i="6"/>
  <c r="S117" i="6"/>
  <c r="S120" i="6"/>
  <c r="S128" i="6"/>
  <c r="S131" i="6"/>
  <c r="S80" i="6"/>
  <c r="S84" i="6"/>
  <c r="S92" i="6"/>
  <c r="S97" i="6"/>
  <c r="S99" i="6"/>
  <c r="S111" i="6"/>
  <c r="S123" i="6"/>
  <c r="S127" i="6"/>
  <c r="S134" i="6"/>
  <c r="Q81" i="6"/>
  <c r="Q85" i="6"/>
  <c r="Q86" i="6"/>
  <c r="Q128" i="6"/>
  <c r="Q132" i="6"/>
  <c r="Q80" i="6"/>
  <c r="Q84" i="6"/>
  <c r="Q91" i="6"/>
  <c r="Q95" i="6"/>
  <c r="Q127" i="6"/>
  <c r="Q131" i="6"/>
  <c r="Q135" i="6"/>
  <c r="Q79" i="6"/>
  <c r="Q83" i="6"/>
  <c r="Q88" i="6"/>
  <c r="Q94" i="6"/>
  <c r="O79" i="6"/>
  <c r="O81" i="6"/>
  <c r="O83" i="6"/>
  <c r="O85" i="6"/>
  <c r="O87" i="6"/>
  <c r="O92" i="6"/>
  <c r="O96" i="6"/>
  <c r="O100" i="6"/>
  <c r="O108" i="6"/>
  <c r="O110" i="6"/>
  <c r="O112" i="6"/>
  <c r="O106" i="6"/>
  <c r="O102" i="6"/>
  <c r="O91" i="6"/>
  <c r="O95" i="6"/>
  <c r="O99" i="6"/>
  <c r="O105" i="6"/>
  <c r="O116" i="6"/>
  <c r="O118" i="6"/>
  <c r="O120" i="6"/>
  <c r="O122" i="6"/>
  <c r="O124" i="6"/>
  <c r="O127" i="6"/>
  <c r="O131" i="6"/>
  <c r="O136" i="6"/>
  <c r="O138" i="6"/>
  <c r="O139" i="6"/>
  <c r="O140" i="6" s="1"/>
  <c r="O141" i="6" s="1"/>
  <c r="O142" i="6"/>
  <c r="O143" i="6" s="1"/>
  <c r="O144" i="6" s="1"/>
  <c r="O145" i="6" s="1"/>
  <c r="O146" i="6" s="1"/>
  <c r="O147" i="6" s="1"/>
  <c r="O148" i="6" s="1"/>
  <c r="O80" i="6"/>
  <c r="O82" i="6"/>
  <c r="O84" i="6"/>
  <c r="O86" i="6"/>
  <c r="O94" i="6"/>
  <c r="O98" i="6"/>
  <c r="O109" i="6"/>
  <c r="O111" i="6"/>
  <c r="K122" i="6"/>
  <c r="K119" i="6"/>
  <c r="K78" i="6"/>
  <c r="K81" i="6"/>
  <c r="K118" i="6"/>
  <c r="K115" i="6"/>
  <c r="K123" i="6"/>
  <c r="K84" i="6"/>
  <c r="K88" i="6"/>
  <c r="K92" i="6"/>
  <c r="K79" i="6"/>
  <c r="K83" i="6"/>
  <c r="K87" i="6"/>
  <c r="K112" i="6"/>
  <c r="K117" i="6"/>
  <c r="K121" i="6"/>
  <c r="K80" i="6"/>
  <c r="K93" i="6"/>
  <c r="K95" i="6"/>
  <c r="K82" i="6"/>
  <c r="K86" i="6"/>
  <c r="K102" i="6"/>
  <c r="K116" i="6"/>
  <c r="K120" i="6"/>
  <c r="I79" i="6"/>
  <c r="I80" i="6"/>
  <c r="I81" i="6"/>
  <c r="I82" i="6"/>
  <c r="I83" i="6"/>
  <c r="I84" i="6"/>
  <c r="I85" i="6"/>
  <c r="I90" i="6"/>
  <c r="I86" i="6"/>
  <c r="I87" i="6"/>
  <c r="I88" i="6"/>
  <c r="I91" i="6"/>
  <c r="I92" i="6"/>
  <c r="I93" i="6"/>
  <c r="I94" i="6"/>
  <c r="I95" i="6"/>
  <c r="I106" i="6"/>
  <c r="I127" i="6"/>
  <c r="I128" i="6"/>
  <c r="I129" i="6"/>
  <c r="I130" i="6"/>
  <c r="I131" i="6"/>
  <c r="I132" i="6"/>
  <c r="I133" i="6"/>
  <c r="I134" i="6"/>
  <c r="I96" i="6"/>
  <c r="I97" i="6"/>
  <c r="I98" i="6"/>
  <c r="I99" i="6"/>
  <c r="I100" i="6"/>
  <c r="G108" i="6"/>
  <c r="G109" i="6"/>
  <c r="G110" i="6"/>
  <c r="G111" i="6"/>
  <c r="G112" i="6"/>
  <c r="G107" i="6"/>
  <c r="G103" i="6"/>
  <c r="G115" i="6"/>
  <c r="G116" i="6"/>
  <c r="G117" i="6"/>
  <c r="G118" i="6"/>
  <c r="G119" i="6"/>
  <c r="G120" i="6"/>
  <c r="G121" i="6"/>
  <c r="G122" i="6"/>
  <c r="G123" i="6"/>
  <c r="G124" i="6"/>
  <c r="G126" i="6"/>
  <c r="G106" i="6"/>
  <c r="G102" i="6"/>
  <c r="G127" i="6"/>
  <c r="G128" i="6"/>
  <c r="G129" i="6"/>
  <c r="G130" i="6"/>
  <c r="G131" i="6"/>
  <c r="G132" i="6"/>
  <c r="G133" i="6"/>
  <c r="G134" i="6"/>
  <c r="G136" i="6"/>
  <c r="G138" i="6" s="1"/>
  <c r="G139" i="6" s="1"/>
  <c r="G140" i="6" s="1"/>
  <c r="G141" i="6" s="1"/>
  <c r="G142" i="6" s="1"/>
  <c r="G143" i="6" s="1"/>
  <c r="G144" i="6" s="1"/>
  <c r="G145" i="6" s="1"/>
  <c r="G146" i="6" s="1"/>
  <c r="G147" i="6" s="1"/>
  <c r="G148" i="6" s="1"/>
  <c r="G79" i="6"/>
  <c r="G80" i="6"/>
  <c r="G81" i="6"/>
  <c r="G82" i="6"/>
  <c r="G83" i="6"/>
  <c r="G84" i="6"/>
  <c r="G85" i="6"/>
  <c r="G86" i="6"/>
  <c r="G87" i="6"/>
  <c r="C129" i="6"/>
  <c r="C136" i="6"/>
  <c r="D111" i="6"/>
  <c r="D103" i="6"/>
  <c r="D123" i="6"/>
  <c r="E106" i="6"/>
  <c r="C121" i="6"/>
  <c r="C83" i="6"/>
  <c r="D82" i="6"/>
  <c r="D91" i="6"/>
  <c r="D96" i="6"/>
  <c r="C111" i="6"/>
  <c r="C131" i="6"/>
  <c r="D112" i="6"/>
  <c r="D115" i="6"/>
  <c r="D128" i="6"/>
  <c r="C126" i="6"/>
  <c r="D97" i="6"/>
  <c r="C93" i="6"/>
  <c r="E92" i="6"/>
  <c r="C122" i="6"/>
  <c r="D106" i="6"/>
  <c r="D118" i="6"/>
  <c r="E119" i="6"/>
  <c r="C84" i="6"/>
  <c r="C94" i="6"/>
  <c r="C106" i="6"/>
  <c r="D129" i="6"/>
  <c r="E115" i="6"/>
  <c r="E121" i="6"/>
  <c r="C79" i="6"/>
  <c r="C87" i="6"/>
  <c r="C97" i="6"/>
  <c r="D81" i="6"/>
  <c r="D86" i="6"/>
  <c r="D93" i="6"/>
  <c r="E82" i="6"/>
  <c r="E100" i="6"/>
  <c r="C102" i="6"/>
  <c r="C128" i="6"/>
  <c r="C133" i="6"/>
  <c r="D107" i="6"/>
  <c r="D102" i="6"/>
  <c r="D132" i="6"/>
  <c r="E117" i="6"/>
  <c r="E122" i="6"/>
  <c r="E126" i="6"/>
  <c r="D121" i="6"/>
  <c r="C90" i="6"/>
  <c r="C80" i="6"/>
  <c r="C88" i="6"/>
  <c r="C98" i="6"/>
  <c r="C118" i="6"/>
  <c r="D133" i="6"/>
  <c r="E118" i="6"/>
  <c r="E123" i="6"/>
  <c r="D126" i="6"/>
  <c r="C114" i="6"/>
  <c r="D104" i="6"/>
  <c r="D88" i="6"/>
  <c r="E79" i="6"/>
  <c r="E93" i="6"/>
  <c r="E97" i="6"/>
  <c r="C112" i="6"/>
  <c r="C105" i="6"/>
  <c r="C115" i="6"/>
  <c r="C119" i="6"/>
  <c r="C123" i="6"/>
  <c r="E112" i="6"/>
  <c r="E105" i="6"/>
  <c r="C81" i="6"/>
  <c r="C85" i="6"/>
  <c r="C91" i="6"/>
  <c r="C95" i="6"/>
  <c r="C99" i="6"/>
  <c r="D80" i="6"/>
  <c r="D84" i="6"/>
  <c r="E80" i="6"/>
  <c r="E84" i="6"/>
  <c r="E98" i="6"/>
  <c r="C109" i="6"/>
  <c r="C108" i="6"/>
  <c r="C104" i="6"/>
  <c r="C116" i="6"/>
  <c r="C120" i="6"/>
  <c r="C124" i="6"/>
  <c r="C130" i="6"/>
  <c r="C134" i="6"/>
  <c r="C138" i="6"/>
  <c r="C139" i="6" s="1"/>
  <c r="C140" i="6" s="1"/>
  <c r="C141" i="6"/>
  <c r="C142" i="6"/>
  <c r="C143" i="6" s="1"/>
  <c r="C144" i="6" s="1"/>
  <c r="C145" i="6"/>
  <c r="C146" i="6" s="1"/>
  <c r="C147" i="6" s="1"/>
  <c r="C148" i="6" s="1"/>
  <c r="D109" i="6"/>
  <c r="D108" i="6"/>
  <c r="D116" i="6"/>
  <c r="D120" i="6"/>
  <c r="D124" i="6"/>
  <c r="D130" i="6"/>
  <c r="D134" i="6"/>
  <c r="D138" i="6"/>
  <c r="D139" i="6"/>
  <c r="D140" i="6"/>
  <c r="D141" i="6" s="1"/>
  <c r="D142" i="6" s="1"/>
  <c r="D143" i="6"/>
  <c r="D144" i="6" s="1"/>
  <c r="D145" i="6" s="1"/>
  <c r="D146" i="6" s="1"/>
  <c r="D147" i="6" s="1"/>
  <c r="D148" i="6" s="1"/>
  <c r="E109" i="6"/>
  <c r="E108" i="6"/>
  <c r="E104" i="6"/>
  <c r="E116" i="6"/>
  <c r="E120" i="6"/>
  <c r="E124" i="6"/>
  <c r="E134" i="6"/>
  <c r="C82" i="6"/>
  <c r="C86" i="6"/>
  <c r="C92" i="6"/>
  <c r="C96" i="6"/>
  <c r="C100" i="6"/>
  <c r="E91" i="6"/>
  <c r="E95" i="6"/>
  <c r="C110" i="6"/>
  <c r="C107" i="6"/>
  <c r="C103" i="6"/>
  <c r="C117" i="6"/>
  <c r="D117" i="6"/>
  <c r="D127" i="6"/>
  <c r="D131" i="6"/>
  <c r="D135" i="6"/>
  <c r="E110" i="6"/>
  <c r="E107" i="6"/>
  <c r="E103" i="6"/>
  <c r="U30" i="6"/>
  <c r="U43" i="6"/>
  <c r="U45" i="6"/>
  <c r="U47" i="6"/>
  <c r="U49" i="6"/>
  <c r="U51" i="6"/>
  <c r="U55" i="6"/>
  <c r="U59" i="6"/>
  <c r="U29" i="6"/>
  <c r="U36" i="6"/>
  <c r="U44" i="6"/>
  <c r="U39" i="6"/>
  <c r="U37" i="6"/>
  <c r="U33" i="6"/>
  <c r="U32" i="6"/>
  <c r="U46" i="6"/>
  <c r="U48" i="6"/>
  <c r="U50" i="6"/>
  <c r="U56" i="6"/>
  <c r="U60" i="6"/>
  <c r="U34" i="6"/>
  <c r="U38" i="6"/>
  <c r="S14" i="6"/>
  <c r="S33" i="6"/>
  <c r="S45" i="6"/>
  <c r="S46" i="6"/>
  <c r="S32" i="6"/>
  <c r="S62" i="6"/>
  <c r="S58" i="6"/>
  <c r="S54" i="6"/>
  <c r="S9" i="6"/>
  <c r="S39" i="6"/>
  <c r="S49" i="6"/>
  <c r="S36" i="6"/>
  <c r="S41" i="6"/>
  <c r="Q18" i="6"/>
  <c r="Q5" i="6"/>
  <c r="Q14" i="6"/>
  <c r="Q8" i="6"/>
  <c r="Q26" i="6"/>
  <c r="Q21" i="6"/>
  <c r="Q17" i="6"/>
  <c r="Q7" i="6"/>
  <c r="Q11" i="6"/>
  <c r="Q42" i="6"/>
  <c r="Q44" i="6"/>
  <c r="Q55" i="6"/>
  <c r="Q57" i="6"/>
  <c r="Q9" i="6"/>
  <c r="Q22" i="6"/>
  <c r="Q13" i="6"/>
  <c r="Q24" i="6"/>
  <c r="Q25" i="6"/>
  <c r="Q20" i="6"/>
  <c r="Q15" i="6"/>
  <c r="O32" i="6"/>
  <c r="O19" i="6"/>
  <c r="O10" i="6"/>
  <c r="O15" i="6"/>
  <c r="O18" i="6"/>
  <c r="O24" i="6"/>
  <c r="O34" i="6"/>
  <c r="O44" i="6"/>
  <c r="O50" i="6"/>
  <c r="O62" i="6"/>
  <c r="O58" i="6"/>
  <c r="O54" i="6"/>
  <c r="O13" i="6"/>
  <c r="O9" i="6"/>
  <c r="O11" i="6"/>
  <c r="O20" i="6"/>
  <c r="O31" i="6"/>
  <c r="O42" i="6"/>
  <c r="O49" i="6"/>
  <c r="O61" i="6"/>
  <c r="O57" i="6"/>
  <c r="O12" i="6"/>
  <c r="M33" i="6"/>
  <c r="M32" i="6"/>
  <c r="M5" i="6"/>
  <c r="M27" i="6"/>
  <c r="M19" i="6"/>
  <c r="K9" i="6"/>
  <c r="K59" i="6"/>
  <c r="I58" i="6"/>
  <c r="I31" i="6"/>
  <c r="I6" i="6"/>
  <c r="I12" i="6"/>
  <c r="I43" i="6"/>
  <c r="I51" i="6"/>
  <c r="I57" i="6"/>
  <c r="I61" i="6"/>
  <c r="I54" i="6"/>
  <c r="I56" i="6"/>
  <c r="I60" i="6"/>
  <c r="I65" i="6"/>
  <c r="I66" i="6" s="1"/>
  <c r="I67" i="6" s="1"/>
  <c r="I68" i="6" s="1"/>
  <c r="I69" i="6" s="1"/>
  <c r="I70" i="6" s="1"/>
  <c r="I71" i="6" s="1"/>
  <c r="I72" i="6" s="1"/>
  <c r="I73" i="6" s="1"/>
  <c r="I74" i="6" s="1"/>
  <c r="I75" i="6" s="1"/>
  <c r="V51" i="1"/>
  <c r="S46" i="1"/>
  <c r="T39" i="1"/>
  <c r="G35" i="6"/>
  <c r="G29" i="6"/>
  <c r="G34" i="6"/>
  <c r="G36" i="6"/>
  <c r="G32" i="6"/>
  <c r="G54" i="6"/>
  <c r="G26" i="6"/>
  <c r="G38" i="6"/>
  <c r="G39" i="6"/>
  <c r="G63" i="6"/>
  <c r="G65" i="6" s="1"/>
  <c r="G66" i="6" s="1"/>
  <c r="G67" i="6" s="1"/>
  <c r="G68" i="6" s="1"/>
  <c r="G69" i="6" s="1"/>
  <c r="G70" i="6" s="1"/>
  <c r="G71" i="6" s="1"/>
  <c r="G72" i="6" s="1"/>
  <c r="G73" i="6" s="1"/>
  <c r="G74" i="6" s="1"/>
  <c r="G75" i="6" s="1"/>
  <c r="C25" i="6"/>
  <c r="E19" i="6"/>
  <c r="E12" i="6"/>
  <c r="E6" i="6"/>
  <c r="D18" i="6"/>
  <c r="D33" i="6"/>
  <c r="E11" i="6"/>
  <c r="E17" i="6"/>
  <c r="E13" i="6"/>
  <c r="D23" i="6"/>
  <c r="D32" i="6"/>
  <c r="D36" i="6"/>
  <c r="D37" i="6"/>
  <c r="D38" i="6"/>
  <c r="C30" i="6"/>
  <c r="E36" i="6"/>
  <c r="E20" i="6"/>
  <c r="U48" i="1"/>
  <c r="V48" i="1"/>
  <c r="S43" i="1" s="1"/>
  <c r="C17" i="6"/>
  <c r="C21" i="6"/>
  <c r="E7" i="6"/>
  <c r="C23" i="6"/>
  <c r="E27" i="6"/>
  <c r="E23" i="6"/>
  <c r="E14" i="6"/>
  <c r="T40" i="1"/>
  <c r="H60" i="6"/>
  <c r="E63" i="6"/>
  <c r="E65" i="6"/>
  <c r="E66" i="6"/>
  <c r="E67" i="6" s="1"/>
  <c r="E68" i="6" s="1"/>
  <c r="E69" i="6" s="1"/>
  <c r="E70" i="6" s="1"/>
  <c r="E71" i="6" s="1"/>
  <c r="E72" i="6" s="1"/>
  <c r="E73" i="6" s="1"/>
  <c r="E74" i="6" s="1"/>
  <c r="E75" i="6" s="1"/>
  <c r="E62" i="6"/>
  <c r="E61" i="6"/>
  <c r="E60" i="6"/>
  <c r="E59" i="6"/>
  <c r="E58" i="6"/>
  <c r="E57" i="6"/>
  <c r="E56" i="6"/>
  <c r="E55" i="6"/>
  <c r="E54" i="6"/>
  <c r="M45" i="6"/>
  <c r="M42" i="6"/>
  <c r="F62" i="6"/>
  <c r="F46" i="6"/>
  <c r="K33" i="6"/>
  <c r="K38" i="6"/>
  <c r="K32" i="6"/>
  <c r="E35" i="6"/>
  <c r="E38" i="6"/>
  <c r="E51" i="6"/>
  <c r="E50" i="6"/>
  <c r="E30" i="6"/>
  <c r="K10" i="6"/>
  <c r="K15" i="6"/>
  <c r="K5" i="6"/>
  <c r="T38" i="1"/>
  <c r="K24" i="6"/>
  <c r="K25" i="6"/>
  <c r="K17" i="6"/>
  <c r="K21" i="6"/>
  <c r="M24" i="6"/>
  <c r="I25" i="6"/>
  <c r="E26" i="6"/>
  <c r="E22" i="6"/>
  <c r="E18" i="6"/>
  <c r="I21" i="6"/>
  <c r="M20" i="6"/>
  <c r="D14" i="6"/>
  <c r="H14" i="6"/>
  <c r="E29" i="6"/>
  <c r="I29" i="6"/>
  <c r="M29" i="6"/>
  <c r="F58" i="6"/>
  <c r="M36" i="6"/>
  <c r="E48" i="6"/>
  <c r="J65" i="6"/>
  <c r="J66" i="6"/>
  <c r="J67" i="6"/>
  <c r="J68" i="6" s="1"/>
  <c r="J69" i="6"/>
  <c r="J70" i="6" s="1"/>
  <c r="J71" i="6" s="1"/>
  <c r="J72" i="6" s="1"/>
  <c r="J73" i="6" s="1"/>
  <c r="J74" i="6" s="1"/>
  <c r="J75" i="6" s="1"/>
  <c r="J61" i="6"/>
  <c r="J60" i="6"/>
  <c r="J59" i="6"/>
  <c r="J58" i="6"/>
  <c r="I41" i="6"/>
  <c r="I62" i="6"/>
  <c r="I49" i="6"/>
  <c r="I48" i="6"/>
  <c r="I47" i="6"/>
  <c r="I46" i="6"/>
  <c r="I42" i="6"/>
  <c r="E42" i="6"/>
  <c r="J45" i="6"/>
  <c r="J44" i="6"/>
  <c r="J42" i="6"/>
  <c r="I34" i="6"/>
  <c r="L27" i="6"/>
  <c r="L23" i="6"/>
  <c r="L32" i="6"/>
  <c r="L18" i="6"/>
  <c r="H26" i="6"/>
  <c r="H17" i="6"/>
  <c r="D26" i="6"/>
  <c r="D17" i="6"/>
  <c r="D31" i="6"/>
  <c r="D19" i="6"/>
  <c r="D20" i="6"/>
  <c r="C9" i="6"/>
  <c r="C12" i="6"/>
  <c r="K43" i="6"/>
  <c r="K53" i="6"/>
  <c r="K57" i="6"/>
  <c r="K61" i="6"/>
  <c r="K51" i="6"/>
  <c r="K50" i="6"/>
  <c r="K49" i="6"/>
  <c r="K48" i="6"/>
  <c r="I38" i="6"/>
  <c r="I36" i="6"/>
  <c r="M11" i="6"/>
  <c r="M8" i="6"/>
  <c r="M6" i="6"/>
  <c r="K6" i="6"/>
  <c r="L10" i="6"/>
  <c r="L14" i="6"/>
  <c r="H7" i="6"/>
  <c r="H11" i="6"/>
  <c r="H15" i="6"/>
  <c r="D8" i="6"/>
  <c r="D12" i="6"/>
  <c r="E47" i="6"/>
  <c r="M9" i="6"/>
  <c r="K7" i="6"/>
  <c r="K12" i="6"/>
  <c r="M26" i="6"/>
  <c r="I27" i="6"/>
  <c r="E24" i="6"/>
  <c r="I19" i="6"/>
  <c r="M22" i="6"/>
  <c r="M18" i="6"/>
  <c r="M15" i="6"/>
  <c r="M14" i="6"/>
  <c r="D11" i="6"/>
  <c r="D6" i="6"/>
  <c r="H12" i="6"/>
  <c r="H6" i="6"/>
  <c r="L12" i="6"/>
  <c r="L7" i="6"/>
  <c r="K35" i="6"/>
  <c r="E32" i="6"/>
  <c r="I32" i="6"/>
  <c r="M31" i="6"/>
  <c r="F43" i="6"/>
  <c r="F50" i="6"/>
  <c r="K42" i="6"/>
  <c r="K44" i="6"/>
  <c r="K47" i="6"/>
  <c r="K30" i="6"/>
  <c r="K36" i="6"/>
  <c r="K41" i="6"/>
  <c r="E41" i="6"/>
  <c r="E44" i="6"/>
  <c r="E45" i="6"/>
  <c r="E46" i="6"/>
  <c r="K63" i="6"/>
  <c r="K65" i="6" s="1"/>
  <c r="K66" i="6" s="1"/>
  <c r="K67" i="6" s="1"/>
  <c r="K68" i="6" s="1"/>
  <c r="K69" i="6" s="1"/>
  <c r="K70" i="6" s="1"/>
  <c r="K71" i="6" s="1"/>
  <c r="K72" i="6" s="1"/>
  <c r="K73" i="6" s="1"/>
  <c r="K74" i="6" s="1"/>
  <c r="K75" i="6" s="1"/>
  <c r="K55" i="6"/>
  <c r="K54" i="6"/>
  <c r="H53" i="6"/>
  <c r="E53" i="6"/>
  <c r="H30" i="6"/>
  <c r="H34" i="6"/>
  <c r="H33" i="6"/>
  <c r="E34" i="6"/>
  <c r="K13" i="6"/>
  <c r="G61" i="6"/>
  <c r="G57" i="6"/>
  <c r="K62" i="6"/>
  <c r="K58" i="6"/>
  <c r="M38" i="6"/>
  <c r="I35" i="6"/>
  <c r="M39" i="6"/>
  <c r="M37" i="6"/>
  <c r="C33" i="6"/>
  <c r="E10" i="6"/>
  <c r="F5" i="6"/>
  <c r="F53" i="6"/>
  <c r="L38" i="6"/>
  <c r="I39" i="6"/>
  <c r="C39" i="6"/>
  <c r="I37" i="6"/>
  <c r="D27" i="6"/>
  <c r="F26" i="6"/>
  <c r="F18" i="6"/>
  <c r="G7" i="6"/>
  <c r="G11" i="6"/>
  <c r="G15" i="6"/>
  <c r="G23" i="6"/>
  <c r="G17" i="6"/>
  <c r="G12" i="6"/>
  <c r="G8" i="6"/>
  <c r="G14" i="6"/>
  <c r="G9" i="6"/>
  <c r="G20" i="6"/>
  <c r="G27" i="6"/>
  <c r="G18" i="6"/>
  <c r="F21" i="6"/>
  <c r="F25" i="6"/>
  <c r="F36" i="6"/>
  <c r="L33" i="6"/>
  <c r="F47" i="6"/>
  <c r="L47" i="6"/>
  <c r="L48" i="6"/>
  <c r="L43" i="6"/>
  <c r="M53" i="6"/>
  <c r="M62" i="6"/>
  <c r="M58" i="6"/>
  <c r="M54" i="6"/>
  <c r="M61" i="6"/>
  <c r="M57" i="6"/>
  <c r="M63" i="6"/>
  <c r="M65" i="6"/>
  <c r="M66" i="6"/>
  <c r="M67" i="6" s="1"/>
  <c r="M68" i="6"/>
  <c r="M69" i="6" s="1"/>
  <c r="M70" i="6" s="1"/>
  <c r="M71" i="6" s="1"/>
  <c r="M72" i="6" s="1"/>
  <c r="M73" i="6" s="1"/>
  <c r="M74" i="6" s="1"/>
  <c r="M75" i="6" s="1"/>
  <c r="M60" i="6"/>
  <c r="M56" i="6"/>
  <c r="C42" i="6"/>
  <c r="C60" i="6"/>
  <c r="C43" i="6"/>
  <c r="C50" i="6"/>
  <c r="C53" i="6"/>
  <c r="C57" i="6"/>
  <c r="C61" i="6"/>
  <c r="C58" i="6"/>
  <c r="C62" i="6"/>
  <c r="J5" i="6"/>
  <c r="J10" i="6"/>
  <c r="J9" i="6"/>
  <c r="J17" i="6"/>
  <c r="J14" i="6"/>
  <c r="G10" i="6"/>
  <c r="F12" i="6"/>
  <c r="J11" i="6"/>
  <c r="G6" i="6"/>
  <c r="G5" i="6"/>
  <c r="G24" i="6"/>
  <c r="F10" i="6"/>
  <c r="J13" i="6"/>
  <c r="G22" i="6"/>
  <c r="F27" i="6"/>
  <c r="F17" i="6"/>
  <c r="F24" i="6"/>
  <c r="F33" i="6"/>
  <c r="F37" i="6"/>
  <c r="F29" i="6"/>
  <c r="H31" i="6"/>
  <c r="L34" i="6"/>
  <c r="H35" i="6"/>
  <c r="H39" i="6"/>
  <c r="H29" i="6"/>
  <c r="F44" i="6"/>
  <c r="F48" i="6"/>
  <c r="F42" i="6"/>
  <c r="F56" i="6"/>
  <c r="F60" i="6"/>
  <c r="C49" i="6"/>
  <c r="H44" i="6"/>
  <c r="M55" i="6"/>
  <c r="C63" i="6"/>
  <c r="C65" i="6"/>
  <c r="C66" i="6" s="1"/>
  <c r="C67" i="6" s="1"/>
  <c r="C68" i="6" s="1"/>
  <c r="C69" i="6" s="1"/>
  <c r="C70" i="6" s="1"/>
  <c r="C71" i="6" s="1"/>
  <c r="C72" i="6" s="1"/>
  <c r="C73" i="6" s="1"/>
  <c r="C74" i="6" s="1"/>
  <c r="C75" i="6" s="1"/>
  <c r="M43" i="6"/>
  <c r="M48" i="6"/>
  <c r="M51" i="6"/>
  <c r="M47" i="6"/>
  <c r="M50" i="6"/>
  <c r="H62" i="6"/>
  <c r="H58" i="6"/>
  <c r="H54" i="6"/>
  <c r="H42" i="6"/>
  <c r="H51" i="6"/>
  <c r="H47" i="6"/>
  <c r="H63" i="6"/>
  <c r="H61" i="6"/>
  <c r="H43" i="6"/>
  <c r="H50" i="6"/>
  <c r="H46" i="6"/>
  <c r="J43" i="6"/>
  <c r="H27" i="6"/>
  <c r="H20" i="6"/>
  <c r="L30" i="6"/>
  <c r="L41" i="6"/>
  <c r="L50" i="6"/>
  <c r="L46" i="6"/>
  <c r="L42" i="6"/>
  <c r="L49" i="6"/>
  <c r="L45" i="6"/>
  <c r="L29" i="6"/>
  <c r="U49" i="1"/>
  <c r="V49" i="1"/>
  <c r="S44" i="1" s="1"/>
  <c r="G21" i="6"/>
  <c r="F32" i="6"/>
  <c r="L37" i="6"/>
  <c r="F51" i="6"/>
  <c r="F55" i="6"/>
  <c r="F59" i="6"/>
  <c r="F6" i="6"/>
  <c r="F14" i="6"/>
  <c r="F8" i="6"/>
  <c r="J7" i="6"/>
  <c r="F7" i="6"/>
  <c r="F13" i="6"/>
  <c r="G25" i="6"/>
  <c r="J8" i="6"/>
  <c r="F23" i="6"/>
  <c r="F20" i="6"/>
  <c r="F34" i="6"/>
  <c r="F38" i="6"/>
  <c r="L31" i="6"/>
  <c r="H32" i="6"/>
  <c r="L35" i="6"/>
  <c r="H36" i="6"/>
  <c r="L39" i="6"/>
  <c r="F45" i="6"/>
  <c r="F49" i="6"/>
  <c r="F41" i="6"/>
  <c r="F57" i="6"/>
  <c r="F61" i="6"/>
  <c r="F65" i="6"/>
  <c r="F66" i="6"/>
  <c r="F67" i="6" s="1"/>
  <c r="F68" i="6" s="1"/>
  <c r="F69" i="6" s="1"/>
  <c r="F70" i="6" s="1"/>
  <c r="F71" i="6" s="1"/>
  <c r="F72" i="6" s="1"/>
  <c r="F73" i="6" s="1"/>
  <c r="F74" i="6" s="1"/>
  <c r="F75" i="6" s="1"/>
  <c r="C44" i="6"/>
  <c r="C45" i="6"/>
  <c r="C51" i="6"/>
  <c r="L44" i="6"/>
  <c r="H45" i="6"/>
  <c r="L51" i="6"/>
  <c r="M59" i="6"/>
  <c r="C59" i="6"/>
  <c r="D53" i="6"/>
  <c r="D59" i="6"/>
  <c r="D55" i="6"/>
  <c r="D63" i="6"/>
  <c r="D65" i="6"/>
  <c r="D66" i="6"/>
  <c r="D67" i="6"/>
  <c r="D68" i="6" s="1"/>
  <c r="D69" i="6" s="1"/>
  <c r="D70" i="6" s="1"/>
  <c r="D71" i="6" s="1"/>
  <c r="D72" i="6" s="1"/>
  <c r="D73" i="6" s="1"/>
  <c r="D74" i="6" s="1"/>
  <c r="D75" i="6" s="1"/>
  <c r="D62" i="6"/>
  <c r="D58" i="6"/>
  <c r="D54" i="6"/>
  <c r="D30" i="6"/>
  <c r="D43" i="6"/>
  <c r="D48" i="6"/>
  <c r="D44" i="6"/>
  <c r="D29" i="6"/>
  <c r="D51" i="6"/>
  <c r="D47" i="6"/>
  <c r="K22" i="6"/>
  <c r="K20" i="6"/>
  <c r="K34" i="6"/>
  <c r="K18" i="6"/>
  <c r="K29" i="6"/>
  <c r="K31" i="6"/>
  <c r="G19" i="6"/>
  <c r="C24" i="6"/>
  <c r="C18" i="6"/>
  <c r="C36" i="6"/>
  <c r="C32" i="6"/>
  <c r="C20" i="6"/>
  <c r="C29" i="6"/>
  <c r="H25" i="6"/>
  <c r="F11" i="6"/>
  <c r="E37" i="6"/>
  <c r="M35" i="6"/>
  <c r="L24" i="6"/>
  <c r="C15" i="6"/>
  <c r="E39" i="6"/>
  <c r="T35" i="1"/>
  <c r="Q19" i="1"/>
  <c r="J22" i="6" l="1"/>
  <c r="P24" i="6"/>
  <c r="N126" i="6"/>
  <c r="N131" i="6"/>
  <c r="N130" i="6"/>
  <c r="N133" i="6"/>
  <c r="N128" i="6"/>
  <c r="N138" i="6"/>
  <c r="N139" i="6" s="1"/>
  <c r="N140" i="6" s="1"/>
  <c r="N141" i="6" s="1"/>
  <c r="N142" i="6" s="1"/>
  <c r="N143" i="6" s="1"/>
  <c r="N144" i="6" s="1"/>
  <c r="N145" i="6" s="1"/>
  <c r="N146" i="6" s="1"/>
  <c r="N147" i="6" s="1"/>
  <c r="N148" i="6" s="1"/>
  <c r="N127" i="6"/>
  <c r="N136" i="6"/>
  <c r="J25" i="6"/>
  <c r="K100" i="6"/>
  <c r="P17" i="6"/>
  <c r="P18" i="6"/>
  <c r="R38" i="6"/>
  <c r="R37" i="6"/>
  <c r="Q90" i="6"/>
  <c r="Q104" i="6"/>
  <c r="Q106" i="6"/>
  <c r="Q110" i="6"/>
  <c r="Q93" i="6"/>
  <c r="Q105" i="6"/>
  <c r="Q112" i="6"/>
  <c r="Q98" i="6"/>
  <c r="Q107" i="6"/>
  <c r="Q109" i="6"/>
  <c r="Q97" i="6"/>
  <c r="Q100" i="6"/>
  <c r="Q103" i="6"/>
  <c r="Q111" i="6"/>
  <c r="Q92" i="6"/>
  <c r="Q96" i="6"/>
  <c r="Q99" i="6"/>
  <c r="M90" i="6"/>
  <c r="M99" i="6"/>
  <c r="M94" i="6"/>
  <c r="M105" i="6"/>
  <c r="M100" i="6"/>
  <c r="M98" i="6"/>
  <c r="M91" i="6"/>
  <c r="M107" i="6"/>
  <c r="M93" i="6"/>
  <c r="M96" i="6"/>
  <c r="E96" i="6"/>
  <c r="E78" i="6"/>
  <c r="E90" i="6"/>
  <c r="E87" i="6"/>
  <c r="E94" i="6"/>
  <c r="E85" i="6"/>
  <c r="E83" i="6"/>
  <c r="E88" i="6"/>
  <c r="E81" i="6"/>
  <c r="E99" i="6"/>
  <c r="R81" i="6"/>
  <c r="R79" i="6"/>
  <c r="R80" i="6"/>
  <c r="R82" i="6"/>
  <c r="R85" i="6"/>
  <c r="U53" i="6"/>
  <c r="U63" i="6"/>
  <c r="U65" i="6" s="1"/>
  <c r="U66" i="6" s="1"/>
  <c r="U67" i="6" s="1"/>
  <c r="U68" i="6" s="1"/>
  <c r="U69" i="6" s="1"/>
  <c r="U70" i="6" s="1"/>
  <c r="U71" i="6" s="1"/>
  <c r="U72" i="6" s="1"/>
  <c r="U73" i="6" s="1"/>
  <c r="U74" i="6" s="1"/>
  <c r="U75" i="6" s="1"/>
  <c r="U58" i="6"/>
  <c r="U54" i="6"/>
  <c r="U57" i="6"/>
  <c r="U61" i="6"/>
  <c r="U62" i="6"/>
  <c r="N53" i="6"/>
  <c r="N60" i="6"/>
  <c r="N59" i="6"/>
  <c r="H59" i="6"/>
  <c r="H65" i="6"/>
  <c r="H66" i="6" s="1"/>
  <c r="H67" i="6" s="1"/>
  <c r="H68" i="6" s="1"/>
  <c r="H69" i="6" s="1"/>
  <c r="H70" i="6" s="1"/>
  <c r="H71" i="6" s="1"/>
  <c r="H72" i="6" s="1"/>
  <c r="H73" i="6" s="1"/>
  <c r="H74" i="6" s="1"/>
  <c r="H75" i="6" s="1"/>
  <c r="H57" i="6"/>
  <c r="H56" i="6"/>
  <c r="D57" i="6"/>
  <c r="D61" i="6"/>
  <c r="D56" i="6"/>
  <c r="D60" i="6"/>
  <c r="M30" i="6"/>
  <c r="M34" i="6"/>
  <c r="M44" i="6"/>
  <c r="M46" i="6"/>
  <c r="M49" i="6"/>
  <c r="C34" i="6"/>
  <c r="C37" i="6"/>
  <c r="C38" i="6"/>
  <c r="C35" i="6"/>
  <c r="C31" i="6"/>
  <c r="I8" i="6"/>
  <c r="I11" i="6"/>
  <c r="I15" i="6"/>
  <c r="I22" i="6"/>
  <c r="I14" i="6"/>
  <c r="I18" i="6"/>
  <c r="I23" i="6"/>
  <c r="I13" i="6"/>
  <c r="I9" i="6"/>
  <c r="I20" i="6"/>
  <c r="I10" i="6"/>
  <c r="I24" i="6"/>
  <c r="I17" i="6"/>
  <c r="D9" i="6"/>
  <c r="D10" i="6"/>
  <c r="D7" i="6"/>
  <c r="F19" i="1"/>
  <c r="D28" i="1" s="1"/>
  <c r="F28" i="1"/>
  <c r="B30" i="1" s="1"/>
  <c r="G19" i="1"/>
  <c r="F23" i="1"/>
  <c r="J23" i="1"/>
  <c r="P25" i="6"/>
  <c r="P30" i="6"/>
  <c r="P31" i="6"/>
  <c r="P29" i="6"/>
  <c r="P35" i="6"/>
  <c r="P27" i="6"/>
  <c r="P19" i="6"/>
  <c r="P38" i="6"/>
  <c r="P20" i="6"/>
  <c r="P32" i="6"/>
  <c r="J23" i="6"/>
  <c r="J26" i="6"/>
  <c r="J32" i="6"/>
  <c r="J36" i="6"/>
  <c r="J30" i="6"/>
  <c r="J38" i="6"/>
  <c r="J21" i="6"/>
  <c r="J18" i="6"/>
  <c r="J29" i="6"/>
  <c r="J31" i="6"/>
  <c r="J35" i="6"/>
  <c r="J24" i="6"/>
  <c r="Q20" i="1"/>
  <c r="T33" i="1"/>
  <c r="M35" i="1" s="1"/>
  <c r="P37" i="6"/>
  <c r="P21" i="6"/>
  <c r="P23" i="6"/>
  <c r="E132" i="6"/>
  <c r="E135" i="6"/>
  <c r="E136" i="6"/>
  <c r="E129" i="6"/>
  <c r="E131" i="6"/>
  <c r="E138" i="6"/>
  <c r="E139" i="6" s="1"/>
  <c r="E140" i="6" s="1"/>
  <c r="E141" i="6" s="1"/>
  <c r="E142" i="6" s="1"/>
  <c r="E143" i="6" s="1"/>
  <c r="E144" i="6" s="1"/>
  <c r="E145" i="6" s="1"/>
  <c r="E146" i="6" s="1"/>
  <c r="E147" i="6" s="1"/>
  <c r="E148" i="6" s="1"/>
  <c r="K98" i="6"/>
  <c r="K103" i="6"/>
  <c r="K91" i="6"/>
  <c r="K99" i="6"/>
  <c r="K106" i="6"/>
  <c r="K90" i="6"/>
  <c r="K104" i="6"/>
  <c r="K96" i="6"/>
  <c r="K107" i="6"/>
  <c r="K97" i="6"/>
  <c r="K111" i="6"/>
  <c r="P78" i="6"/>
  <c r="P85" i="6"/>
  <c r="P92" i="6"/>
  <c r="P97" i="6"/>
  <c r="P81" i="6"/>
  <c r="P100" i="6"/>
  <c r="P93" i="6"/>
  <c r="P84" i="6"/>
  <c r="P91" i="6"/>
  <c r="P83" i="6"/>
  <c r="P99" i="6"/>
  <c r="R27" i="6"/>
  <c r="R33" i="6"/>
  <c r="R21" i="6"/>
  <c r="R18" i="6"/>
  <c r="R35" i="6"/>
  <c r="R23" i="6"/>
  <c r="R34" i="6"/>
  <c r="R36" i="6"/>
  <c r="R19" i="6"/>
  <c r="R17" i="6"/>
  <c r="R20" i="6"/>
  <c r="R26" i="6"/>
  <c r="R30" i="6"/>
  <c r="R32" i="6"/>
  <c r="T36" i="1"/>
  <c r="J19" i="6"/>
  <c r="E130" i="6"/>
  <c r="K108" i="6"/>
  <c r="K109" i="6"/>
  <c r="J37" i="6"/>
  <c r="E128" i="6"/>
  <c r="K94" i="6"/>
  <c r="K110" i="6"/>
  <c r="J39" i="6"/>
  <c r="J34" i="6"/>
  <c r="P36" i="6"/>
  <c r="N135" i="6"/>
  <c r="P98" i="6"/>
  <c r="P87" i="6"/>
  <c r="R86" i="6"/>
  <c r="R22" i="6"/>
  <c r="I5" i="6"/>
  <c r="D5" i="6"/>
  <c r="J27" i="6"/>
  <c r="N58" i="6"/>
  <c r="N63" i="6"/>
  <c r="N65" i="6" s="1"/>
  <c r="N66" i="6" s="1"/>
  <c r="N67" i="6" s="1"/>
  <c r="N68" i="6" s="1"/>
  <c r="N69" i="6" s="1"/>
  <c r="N70" i="6" s="1"/>
  <c r="N71" i="6" s="1"/>
  <c r="N72" i="6" s="1"/>
  <c r="N73" i="6" s="1"/>
  <c r="N74" i="6" s="1"/>
  <c r="N75" i="6" s="1"/>
  <c r="M41" i="6"/>
  <c r="P80" i="6"/>
  <c r="P95" i="6"/>
  <c r="E86" i="6"/>
  <c r="M95" i="6"/>
  <c r="M104" i="6"/>
  <c r="L123" i="6"/>
  <c r="L136" i="6"/>
  <c r="L138" i="6" s="1"/>
  <c r="L139" i="6" s="1"/>
  <c r="L140" i="6" s="1"/>
  <c r="L141" i="6" s="1"/>
  <c r="L142" i="6" s="1"/>
  <c r="L143" i="6" s="1"/>
  <c r="L144" i="6" s="1"/>
  <c r="L145" i="6" s="1"/>
  <c r="L146" i="6" s="1"/>
  <c r="L147" i="6" s="1"/>
  <c r="L148" i="6" s="1"/>
  <c r="L132" i="6"/>
  <c r="L114" i="6"/>
  <c r="L126" i="6"/>
  <c r="L128" i="6"/>
  <c r="L121" i="6"/>
  <c r="L122" i="6"/>
  <c r="L135" i="6"/>
  <c r="L130" i="6"/>
  <c r="L117" i="6"/>
  <c r="L133" i="6"/>
  <c r="L115" i="6"/>
  <c r="L131" i="6"/>
  <c r="L124" i="6"/>
  <c r="L116" i="6"/>
  <c r="L129" i="6"/>
  <c r="V105" i="6"/>
  <c r="V107" i="6"/>
  <c r="V117" i="6"/>
  <c r="V108" i="6"/>
  <c r="V104" i="6"/>
  <c r="V114" i="6"/>
  <c r="V121" i="6"/>
  <c r="V102" i="6"/>
  <c r="V109" i="6"/>
  <c r="V112" i="6"/>
  <c r="V123" i="6"/>
  <c r="V119" i="6"/>
  <c r="V124" i="6"/>
  <c r="S104" i="6"/>
  <c r="S124" i="6"/>
  <c r="S103" i="6"/>
  <c r="S116" i="6"/>
  <c r="S102" i="6"/>
  <c r="S105" i="6"/>
  <c r="S118" i="6"/>
  <c r="S114" i="6"/>
  <c r="S121" i="6"/>
  <c r="S107" i="6"/>
  <c r="S108" i="6"/>
  <c r="S106" i="6"/>
  <c r="S110" i="6"/>
  <c r="S115" i="6"/>
  <c r="H104" i="6"/>
  <c r="H116" i="6"/>
  <c r="H118" i="6"/>
  <c r="H115" i="6"/>
  <c r="H107" i="6"/>
  <c r="H102" i="6"/>
  <c r="H122" i="6"/>
  <c r="H108" i="6"/>
  <c r="H111" i="6"/>
  <c r="H103" i="6"/>
  <c r="H106" i="6"/>
  <c r="H121" i="6"/>
  <c r="H110" i="6"/>
  <c r="G41" i="6"/>
  <c r="G55" i="6"/>
  <c r="G49" i="6"/>
  <c r="G60" i="6"/>
  <c r="G42" i="6"/>
  <c r="G50" i="6"/>
  <c r="G44" i="6"/>
  <c r="G59" i="6"/>
  <c r="G53" i="6"/>
  <c r="G48" i="6"/>
  <c r="G45" i="6"/>
  <c r="C41" i="6"/>
  <c r="C48" i="6"/>
  <c r="C47" i="6"/>
  <c r="C55" i="6"/>
  <c r="C56" i="6"/>
  <c r="C46" i="6"/>
  <c r="C54" i="6"/>
  <c r="U14" i="6"/>
  <c r="U5" i="6"/>
  <c r="U12" i="6"/>
  <c r="U6" i="6"/>
  <c r="U8" i="6"/>
  <c r="U18" i="6"/>
  <c r="U22" i="6"/>
  <c r="U26" i="6"/>
  <c r="U11" i="6"/>
  <c r="U9" i="6"/>
  <c r="U17" i="6"/>
  <c r="U21" i="6"/>
  <c r="P26" i="6"/>
  <c r="L9" i="6"/>
  <c r="L5" i="6"/>
  <c r="L26" i="6"/>
  <c r="L19" i="6"/>
  <c r="L6" i="6"/>
  <c r="L21" i="6"/>
  <c r="L22" i="6"/>
  <c r="L11" i="6"/>
  <c r="L8" i="6"/>
  <c r="L15" i="6"/>
  <c r="T82" i="6"/>
  <c r="T85" i="6"/>
  <c r="J118" i="6"/>
  <c r="R132" i="6"/>
  <c r="R126" i="6"/>
  <c r="R134" i="6"/>
  <c r="R127" i="6"/>
  <c r="R136" i="6"/>
  <c r="R138" i="6" s="1"/>
  <c r="R139" i="6" s="1"/>
  <c r="R140" i="6" s="1"/>
  <c r="R141" i="6" s="1"/>
  <c r="R142" i="6" s="1"/>
  <c r="R143" i="6" s="1"/>
  <c r="R144" i="6" s="1"/>
  <c r="R145" i="6" s="1"/>
  <c r="R146" i="6" s="1"/>
  <c r="R147" i="6" s="1"/>
  <c r="R148" i="6" s="1"/>
  <c r="R135" i="6"/>
  <c r="R128" i="6"/>
  <c r="O126" i="6"/>
  <c r="O132" i="6"/>
  <c r="O130" i="6"/>
  <c r="O128" i="6"/>
  <c r="O135" i="6"/>
  <c r="K126" i="6"/>
  <c r="K135" i="6"/>
  <c r="K134" i="6"/>
  <c r="K131" i="6"/>
  <c r="K129" i="6"/>
  <c r="K138" i="6"/>
  <c r="K139" i="6" s="1"/>
  <c r="K140" i="6" s="1"/>
  <c r="K141" i="6" s="1"/>
  <c r="K142" i="6" s="1"/>
  <c r="K143" i="6" s="1"/>
  <c r="K144" i="6" s="1"/>
  <c r="K145" i="6" s="1"/>
  <c r="K146" i="6" s="1"/>
  <c r="K147" i="6" s="1"/>
  <c r="K148" i="6" s="1"/>
  <c r="K132" i="6"/>
  <c r="K128" i="6"/>
  <c r="F138" i="6"/>
  <c r="F139" i="6" s="1"/>
  <c r="F140" i="6" s="1"/>
  <c r="F141" i="6" s="1"/>
  <c r="F142" i="6" s="1"/>
  <c r="F143" i="6" s="1"/>
  <c r="F144" i="6" s="1"/>
  <c r="F145" i="6" s="1"/>
  <c r="F146" i="6" s="1"/>
  <c r="F147" i="6" s="1"/>
  <c r="F148" i="6" s="1"/>
  <c r="F134" i="6"/>
  <c r="F130" i="6"/>
  <c r="F131" i="6"/>
  <c r="Q122" i="6"/>
  <c r="Q134" i="6"/>
  <c r="Q119" i="6"/>
  <c r="Q115" i="6"/>
  <c r="Q133" i="6"/>
  <c r="Q117" i="6"/>
  <c r="Q136" i="6"/>
  <c r="Q138" i="6" s="1"/>
  <c r="Q139" i="6" s="1"/>
  <c r="Q140" i="6" s="1"/>
  <c r="Q141" i="6" s="1"/>
  <c r="Q142" i="6" s="1"/>
  <c r="Q143" i="6" s="1"/>
  <c r="Q144" i="6" s="1"/>
  <c r="Q145" i="6" s="1"/>
  <c r="Q146" i="6" s="1"/>
  <c r="Q147" i="6" s="1"/>
  <c r="Q148" i="6" s="1"/>
  <c r="F121" i="6"/>
  <c r="F114" i="6"/>
  <c r="F117" i="6"/>
  <c r="I102" i="6"/>
  <c r="I105" i="6"/>
  <c r="I116" i="6"/>
  <c r="I107" i="6"/>
  <c r="I109" i="6"/>
  <c r="I115" i="6"/>
  <c r="F106" i="6"/>
  <c r="F105" i="6"/>
  <c r="N90" i="6"/>
  <c r="N100" i="6"/>
  <c r="N99" i="6"/>
  <c r="N97" i="6"/>
  <c r="N92" i="6"/>
  <c r="N105" i="6"/>
  <c r="N98" i="6"/>
  <c r="V78" i="6"/>
  <c r="V93" i="6"/>
  <c r="V92" i="6"/>
  <c r="V87" i="6"/>
  <c r="J78" i="6"/>
  <c r="J86" i="6"/>
  <c r="J90" i="6"/>
  <c r="J98" i="6"/>
  <c r="J87" i="6"/>
  <c r="J80" i="6"/>
  <c r="J99" i="6"/>
  <c r="J91" i="6"/>
  <c r="J100" i="6"/>
  <c r="J96" i="6"/>
  <c r="J92" i="6"/>
  <c r="J81" i="6"/>
  <c r="J79" i="6"/>
  <c r="K45" i="6"/>
  <c r="P49" i="6"/>
  <c r="P48" i="6"/>
  <c r="T27" i="6"/>
  <c r="T21" i="6"/>
  <c r="T29" i="6"/>
  <c r="U50" i="1"/>
  <c r="V50" i="1" s="1"/>
  <c r="S45" i="1" s="1"/>
  <c r="I126" i="6"/>
  <c r="I138" i="6"/>
  <c r="I139" i="6" s="1"/>
  <c r="I140" i="6" s="1"/>
  <c r="I141" i="6" s="1"/>
  <c r="I142" i="6" s="1"/>
  <c r="I143" i="6" s="1"/>
  <c r="I144" i="6" s="1"/>
  <c r="I145" i="6" s="1"/>
  <c r="I146" i="6" s="1"/>
  <c r="I147" i="6" s="1"/>
  <c r="I148" i="6" s="1"/>
  <c r="I135" i="6"/>
  <c r="T114" i="6"/>
  <c r="T122" i="6"/>
  <c r="T127" i="6"/>
  <c r="N117" i="6"/>
  <c r="N119" i="6"/>
  <c r="J114" i="6"/>
  <c r="J119" i="6"/>
  <c r="J136" i="6"/>
  <c r="J133" i="6"/>
  <c r="J131" i="6"/>
  <c r="J122" i="6"/>
  <c r="J120" i="6"/>
  <c r="J116" i="6"/>
  <c r="J123" i="6"/>
  <c r="F97" i="6"/>
  <c r="F92" i="6"/>
  <c r="F90" i="6"/>
  <c r="F96" i="6"/>
  <c r="T78" i="6"/>
  <c r="T87" i="6"/>
  <c r="T86" i="6"/>
  <c r="T97" i="6"/>
  <c r="T93" i="6"/>
  <c r="T83" i="6"/>
  <c r="T80" i="6"/>
  <c r="N78" i="6"/>
  <c r="N88" i="6"/>
  <c r="N82" i="6"/>
  <c r="N81" i="6"/>
  <c r="N83" i="6"/>
  <c r="N84" i="6"/>
  <c r="Q53" i="6"/>
  <c r="Q65" i="6"/>
  <c r="Q66" i="6" s="1"/>
  <c r="Q67" i="6" s="1"/>
  <c r="Q68" i="6" s="1"/>
  <c r="Q69" i="6" s="1"/>
  <c r="Q70" i="6" s="1"/>
  <c r="Q71" i="6" s="1"/>
  <c r="Q72" i="6" s="1"/>
  <c r="Q73" i="6" s="1"/>
  <c r="Q74" i="6" s="1"/>
  <c r="Q75" i="6" s="1"/>
  <c r="Q62" i="6"/>
  <c r="Q63" i="6"/>
  <c r="Q59" i="6"/>
  <c r="Q54" i="6"/>
  <c r="R29" i="6"/>
  <c r="R43" i="6"/>
  <c r="R46" i="6"/>
  <c r="E33" i="6"/>
  <c r="E49" i="6"/>
  <c r="M126" i="6"/>
  <c r="M135" i="6"/>
  <c r="M132" i="6"/>
  <c r="M129" i="6"/>
  <c r="M127" i="6"/>
  <c r="M136" i="6"/>
  <c r="M138" i="6" s="1"/>
  <c r="M139" i="6" s="1"/>
  <c r="M140" i="6" s="1"/>
  <c r="M141" i="6" s="1"/>
  <c r="M142" i="6" s="1"/>
  <c r="M143" i="6" s="1"/>
  <c r="M144" i="6" s="1"/>
  <c r="M145" i="6" s="1"/>
  <c r="M146" i="6" s="1"/>
  <c r="M147" i="6" s="1"/>
  <c r="M148" i="6" s="1"/>
  <c r="M130" i="6"/>
  <c r="M128" i="6"/>
  <c r="O119" i="6"/>
  <c r="O114" i="6"/>
  <c r="O123" i="6"/>
  <c r="U105" i="6"/>
  <c r="U104" i="6"/>
  <c r="U107" i="6"/>
  <c r="U111" i="6"/>
  <c r="N110" i="6"/>
  <c r="N112" i="6"/>
  <c r="S90" i="6"/>
  <c r="S96" i="6"/>
  <c r="G90" i="6"/>
  <c r="G104" i="6"/>
  <c r="G99" i="6"/>
  <c r="G94" i="6"/>
  <c r="G91" i="6"/>
  <c r="L78" i="6"/>
  <c r="L100" i="6"/>
  <c r="L98" i="6"/>
  <c r="L91" i="6"/>
  <c r="H78" i="6"/>
  <c r="H97" i="6"/>
  <c r="H95" i="6"/>
  <c r="H94" i="6"/>
  <c r="H93" i="6"/>
  <c r="H85" i="6"/>
  <c r="H83" i="6"/>
  <c r="H81" i="6"/>
  <c r="H79" i="6"/>
  <c r="O88" i="6"/>
  <c r="O78" i="6"/>
  <c r="L53" i="6"/>
  <c r="O41" i="6"/>
  <c r="O60" i="6"/>
  <c r="L63" i="6"/>
  <c r="L65" i="6" s="1"/>
  <c r="L66" i="6" s="1"/>
  <c r="L67" i="6" s="1"/>
  <c r="L68" i="6" s="1"/>
  <c r="L69" i="6" s="1"/>
  <c r="L70" i="6" s="1"/>
  <c r="L71" i="6" s="1"/>
  <c r="L72" i="6" s="1"/>
  <c r="L73" i="6" s="1"/>
  <c r="L74" i="6" s="1"/>
  <c r="L75" i="6" s="1"/>
  <c r="I25" i="1"/>
  <c r="U133" i="6"/>
  <c r="U132" i="6"/>
  <c r="P136" i="6"/>
  <c r="P138" i="6" s="1"/>
  <c r="P139" i="6" s="1"/>
  <c r="P140" i="6" s="1"/>
  <c r="P141" i="6" s="1"/>
  <c r="P142" i="6" s="1"/>
  <c r="P143" i="6" s="1"/>
  <c r="P144" i="6" s="1"/>
  <c r="P145" i="6" s="1"/>
  <c r="P146" i="6" s="1"/>
  <c r="P147" i="6" s="1"/>
  <c r="P148" i="6" s="1"/>
  <c r="P134" i="6"/>
  <c r="P128" i="6"/>
  <c r="J138" i="6"/>
  <c r="J139" i="6" s="1"/>
  <c r="J140" i="6" s="1"/>
  <c r="J141" i="6" s="1"/>
  <c r="J142" i="6" s="1"/>
  <c r="J143" i="6" s="1"/>
  <c r="J144" i="6" s="1"/>
  <c r="J145" i="6" s="1"/>
  <c r="J146" i="6" s="1"/>
  <c r="J147" i="6" s="1"/>
  <c r="J148" i="6" s="1"/>
  <c r="J135" i="6"/>
  <c r="J129" i="6"/>
  <c r="J127" i="6"/>
  <c r="R114" i="6"/>
  <c r="R122" i="6"/>
  <c r="R116" i="6"/>
  <c r="I114" i="6"/>
  <c r="I124" i="6"/>
  <c r="I121" i="6"/>
  <c r="I117" i="6"/>
  <c r="D122" i="6"/>
  <c r="D119" i="6"/>
  <c r="M124" i="6"/>
  <c r="M122" i="6"/>
  <c r="M118" i="6"/>
  <c r="M102" i="6"/>
  <c r="M106" i="6"/>
  <c r="M112" i="6"/>
  <c r="M111" i="6"/>
  <c r="M110" i="6"/>
  <c r="M109" i="6"/>
  <c r="M108" i="6"/>
  <c r="J106" i="6"/>
  <c r="J104" i="6"/>
  <c r="J112" i="6"/>
  <c r="J109" i="6"/>
  <c r="J107" i="6"/>
  <c r="U90" i="6"/>
  <c r="U97" i="6"/>
  <c r="U92" i="6"/>
  <c r="R88" i="6"/>
  <c r="R78" i="6"/>
  <c r="R95" i="6"/>
  <c r="R84" i="6"/>
  <c r="I78" i="6"/>
  <c r="F78" i="6"/>
  <c r="F79" i="6"/>
  <c r="G58" i="6"/>
  <c r="G56" i="6"/>
  <c r="I59" i="6"/>
  <c r="I55" i="6"/>
  <c r="K14" i="6"/>
  <c r="Q126" i="6"/>
  <c r="Q130" i="6"/>
  <c r="M114" i="6"/>
  <c r="E114" i="6"/>
  <c r="J51" i="6"/>
  <c r="J41" i="6"/>
  <c r="T32" i="1" l="1"/>
  <c r="U28" i="1"/>
  <c r="Q16" i="1"/>
  <c r="U25" i="1"/>
  <c r="U27" i="1"/>
  <c r="U24" i="1"/>
  <c r="U26" i="1"/>
</calcChain>
</file>

<file path=xl/sharedStrings.xml><?xml version="1.0" encoding="utf-8"?>
<sst xmlns="http://schemas.openxmlformats.org/spreadsheetml/2006/main" count="794" uniqueCount="459">
  <si>
    <t>握力</t>
    <rPh sb="0" eb="2">
      <t>アクリョク</t>
    </rPh>
    <phoneticPr fontId="4"/>
  </si>
  <si>
    <t>上体起こし</t>
    <rPh sb="0" eb="2">
      <t>ジョウタイ</t>
    </rPh>
    <rPh sb="2" eb="3">
      <t>オ</t>
    </rPh>
    <phoneticPr fontId="4"/>
  </si>
  <si>
    <t>反復横とび</t>
    <rPh sb="0" eb="2">
      <t>ハンプク</t>
    </rPh>
    <rPh sb="2" eb="3">
      <t>ヨコ</t>
    </rPh>
    <phoneticPr fontId="4"/>
  </si>
  <si>
    <t>持久走</t>
    <rPh sb="0" eb="3">
      <t>ジキュウソウ</t>
    </rPh>
    <phoneticPr fontId="4"/>
  </si>
  <si>
    <t>５０ｍ走</t>
    <rPh sb="3" eb="4">
      <t>ソウ</t>
    </rPh>
    <phoneticPr fontId="4"/>
  </si>
  <si>
    <t>立ち幅とび</t>
    <rPh sb="0" eb="1">
      <t>タ</t>
    </rPh>
    <rPh sb="2" eb="3">
      <t>ハバ</t>
    </rPh>
    <phoneticPr fontId="4"/>
  </si>
  <si>
    <t>ﾊﾝﾄﾞﾎﾞｰﾙ投</t>
    <rPh sb="8" eb="9">
      <t>ナ</t>
    </rPh>
    <phoneticPr fontId="4"/>
  </si>
  <si>
    <t>身長</t>
    <rPh sb="0" eb="2">
      <t>シンチョウ</t>
    </rPh>
    <phoneticPr fontId="4"/>
  </si>
  <si>
    <t>体重</t>
    <rPh sb="0" eb="2">
      <t>タイジュウ</t>
    </rPh>
    <phoneticPr fontId="4"/>
  </si>
  <si>
    <t>ｼｬﾄﾙﾗﾝ</t>
  </si>
  <si>
    <t>（ｃｍ）</t>
  </si>
  <si>
    <t>（ｋｇ）</t>
  </si>
  <si>
    <t>（回）</t>
    <rPh sb="1" eb="2">
      <t>カイ</t>
    </rPh>
    <phoneticPr fontId="4"/>
  </si>
  <si>
    <t>（点）</t>
    <rPh sb="1" eb="2">
      <t>テン</t>
    </rPh>
    <phoneticPr fontId="4"/>
  </si>
  <si>
    <t>（秒）</t>
    <rPh sb="1" eb="2">
      <t>ビョウ</t>
    </rPh>
    <phoneticPr fontId="4"/>
  </si>
  <si>
    <t>（ｍ）</t>
  </si>
  <si>
    <t>長座体前屈</t>
    <rPh sb="0" eb="2">
      <t>チョウザ</t>
    </rPh>
    <rPh sb="2" eb="3">
      <t>タイ</t>
    </rPh>
    <rPh sb="3" eb="5">
      <t>ゼンクツ</t>
    </rPh>
    <phoneticPr fontId="4"/>
  </si>
  <si>
    <t>ｋｇです。</t>
  </si>
  <si>
    <t>性別：</t>
    <rPh sb="0" eb="2">
      <t>セイベツ</t>
    </rPh>
    <phoneticPr fontId="4"/>
  </si>
  <si>
    <t>氏名：</t>
    <rPh sb="0" eb="2">
      <t>シメイ</t>
    </rPh>
    <phoneticPr fontId="4"/>
  </si>
  <si>
    <t>（握力）</t>
    <rPh sb="1" eb="3">
      <t>アクリョク</t>
    </rPh>
    <phoneticPr fontId="4"/>
  </si>
  <si>
    <t>（上体おこし）</t>
    <rPh sb="1" eb="3">
      <t>ジョウタイ</t>
    </rPh>
    <phoneticPr fontId="4"/>
  </si>
  <si>
    <t>（長座体前屈）</t>
    <rPh sb="1" eb="6">
      <t>チョウ</t>
    </rPh>
    <phoneticPr fontId="4"/>
  </si>
  <si>
    <t>（反復横とび）</t>
    <rPh sb="1" eb="3">
      <t>ハンプク</t>
    </rPh>
    <rPh sb="3" eb="4">
      <t>ヨコ</t>
    </rPh>
    <phoneticPr fontId="4"/>
  </si>
  <si>
    <t>（持久走）</t>
    <rPh sb="1" eb="3">
      <t>ジキュウ</t>
    </rPh>
    <rPh sb="3" eb="4">
      <t>ソウ</t>
    </rPh>
    <phoneticPr fontId="4"/>
  </si>
  <si>
    <t>（シャトルラン）</t>
  </si>
  <si>
    <t>（５０ｍ走）</t>
    <rPh sb="4" eb="5">
      <t>ソウ</t>
    </rPh>
    <phoneticPr fontId="4"/>
  </si>
  <si>
    <t>（立幅とび）</t>
    <rPh sb="1" eb="2">
      <t>タ</t>
    </rPh>
    <rPh sb="2" eb="6">
      <t>ハバトビ</t>
    </rPh>
    <phoneticPr fontId="4"/>
  </si>
  <si>
    <t>（ボール投げ）</t>
    <rPh sb="4" eb="5">
      <t>ナ</t>
    </rPh>
    <phoneticPr fontId="4"/>
  </si>
  <si>
    <t>男子</t>
    <rPh sb="0" eb="2">
      <t>ダンシ</t>
    </rPh>
    <phoneticPr fontId="4"/>
  </si>
  <si>
    <t>平均</t>
    <rPh sb="0" eb="2">
      <t>ヘイキン</t>
    </rPh>
    <phoneticPr fontId="4"/>
  </si>
  <si>
    <t>標準偏差</t>
    <rPh sb="0" eb="2">
      <t>ヒョウジュン</t>
    </rPh>
    <rPh sb="2" eb="4">
      <t>ヘンサ</t>
    </rPh>
    <phoneticPr fontId="4"/>
  </si>
  <si>
    <t>女子</t>
    <rPh sb="0" eb="2">
      <t>ジョシ</t>
    </rPh>
    <phoneticPr fontId="4"/>
  </si>
  <si>
    <t>測定値</t>
    <rPh sb="0" eb="3">
      <t>ソクテイチ</t>
    </rPh>
    <phoneticPr fontId="4"/>
  </si>
  <si>
    <t xml:space="preserve">男 </t>
    <rPh sb="0" eb="1">
      <t>ダン</t>
    </rPh>
    <phoneticPr fontId="4"/>
  </si>
  <si>
    <t xml:space="preserve">子 </t>
    <rPh sb="0" eb="1">
      <t>コ</t>
    </rPh>
    <phoneticPr fontId="4"/>
  </si>
  <si>
    <t xml:space="preserve">女 </t>
    <rPh sb="0" eb="1">
      <t>ジョ</t>
    </rPh>
    <phoneticPr fontId="4"/>
  </si>
  <si>
    <t>高２</t>
    <rPh sb="0" eb="1">
      <t>コウ</t>
    </rPh>
    <phoneticPr fontId="4"/>
  </si>
  <si>
    <t>Tスコア</t>
  </si>
  <si>
    <t>（分）</t>
    <rPh sb="1" eb="2">
      <t>フン</t>
    </rPh>
    <phoneticPr fontId="4"/>
  </si>
  <si>
    <t>A</t>
  </si>
  <si>
    <t>B</t>
  </si>
  <si>
    <t>C</t>
  </si>
  <si>
    <t>D</t>
  </si>
  <si>
    <t>E</t>
  </si>
  <si>
    <t>12歳</t>
    <rPh sb="2" eb="3">
      <t>サイ</t>
    </rPh>
    <phoneticPr fontId="4"/>
  </si>
  <si>
    <t>13歳</t>
    <rPh sb="2" eb="3">
      <t>サイ</t>
    </rPh>
    <phoneticPr fontId="4"/>
  </si>
  <si>
    <t>14歳</t>
    <rPh sb="2" eb="3">
      <t>サイ</t>
    </rPh>
    <phoneticPr fontId="4"/>
  </si>
  <si>
    <t>15歳</t>
    <rPh sb="2" eb="3">
      <t>サイ</t>
    </rPh>
    <phoneticPr fontId="4"/>
  </si>
  <si>
    <t>16歳</t>
    <rPh sb="2" eb="3">
      <t>サイ</t>
    </rPh>
    <phoneticPr fontId="4"/>
  </si>
  <si>
    <t>17歳</t>
    <rPh sb="2" eb="3">
      <t>サイ</t>
    </rPh>
    <phoneticPr fontId="4"/>
  </si>
  <si>
    <t>A</t>
  </si>
  <si>
    <t>D</t>
  </si>
  <si>
    <t>C</t>
  </si>
  <si>
    <t>B</t>
  </si>
  <si>
    <t>握力(右)</t>
    <rPh sb="0" eb="2">
      <t>アクリョク</t>
    </rPh>
    <rPh sb="3" eb="4">
      <t>ミギ</t>
    </rPh>
    <phoneticPr fontId="4"/>
  </si>
  <si>
    <t>握力(左)</t>
    <rPh sb="0" eb="2">
      <t>アクリョク</t>
    </rPh>
    <rPh sb="3" eb="4">
      <t>ヒダリ</t>
    </rPh>
    <phoneticPr fontId="4"/>
  </si>
  <si>
    <t>ﾎﾞｰﾙ投</t>
    <rPh sb="4" eb="5">
      <t>ナ</t>
    </rPh>
    <phoneticPr fontId="4"/>
  </si>
  <si>
    <t>握力(平均)</t>
    <rPh sb="0" eb="2">
      <t>アクリョク</t>
    </rPh>
    <rPh sb="3" eb="5">
      <t>ヘイキン</t>
    </rPh>
    <phoneticPr fontId="4"/>
  </si>
  <si>
    <t>中１</t>
    <rPh sb="0" eb="1">
      <t>チュウ</t>
    </rPh>
    <phoneticPr fontId="4"/>
  </si>
  <si>
    <t>中２</t>
    <rPh sb="0" eb="1">
      <t>チュウ</t>
    </rPh>
    <phoneticPr fontId="4"/>
  </si>
  <si>
    <t>中３</t>
    <rPh sb="0" eb="1">
      <t>チュウ</t>
    </rPh>
    <phoneticPr fontId="4"/>
  </si>
  <si>
    <t>得　　点</t>
    <rPh sb="0" eb="1">
      <t>トク</t>
    </rPh>
    <rPh sb="3" eb="4">
      <t>テン</t>
    </rPh>
    <phoneticPr fontId="4"/>
  </si>
  <si>
    <t>得点合計</t>
    <rPh sb="0" eb="2">
      <t>トクテン</t>
    </rPh>
    <rPh sb="2" eb="4">
      <t>ゴウケイ</t>
    </rPh>
    <phoneticPr fontId="4"/>
  </si>
  <si>
    <t>よりかなり優れています。</t>
    <rPh sb="5" eb="6">
      <t>スグ</t>
    </rPh>
    <phoneticPr fontId="4"/>
  </si>
  <si>
    <t>とほぼ同じようです。</t>
    <rPh sb="3" eb="4">
      <t>オナ</t>
    </rPh>
    <phoneticPr fontId="4"/>
  </si>
  <si>
    <t>とくらべ良いようです。</t>
    <rPh sb="4" eb="5">
      <t>ヨ</t>
    </rPh>
    <phoneticPr fontId="4"/>
  </si>
  <si>
    <t>上体起こし</t>
  </si>
  <si>
    <t>長座体前屈</t>
  </si>
  <si>
    <t>反復横とび</t>
  </si>
  <si>
    <t>ｼｬﾄﾙﾗﾝ</t>
  </si>
  <si>
    <t>５０ｍ走</t>
  </si>
  <si>
    <t>立ち幅とび</t>
  </si>
  <si>
    <t>ﾊﾝﾄﾞﾎﾞｰﾙ投</t>
  </si>
  <si>
    <t>中１</t>
  </si>
  <si>
    <t>身　長</t>
  </si>
  <si>
    <t>体　重</t>
  </si>
  <si>
    <t>握　力</t>
  </si>
  <si>
    <t>自己記録</t>
    <rPh sb="0" eb="2">
      <t>ジコ</t>
    </rPh>
    <rPh sb="2" eb="4">
      <t>キロク</t>
    </rPh>
    <phoneticPr fontId="4"/>
  </si>
  <si>
    <t>自己</t>
    <rPh sb="0" eb="2">
      <t>ジコ</t>
    </rPh>
    <phoneticPr fontId="4"/>
  </si>
  <si>
    <t>中２</t>
  </si>
  <si>
    <t>中３</t>
  </si>
  <si>
    <t>高１</t>
  </si>
  <si>
    <t>高２</t>
  </si>
  <si>
    <t>高３</t>
  </si>
  <si>
    <t>（身長）</t>
    <rPh sb="1" eb="3">
      <t>シンチョウ</t>
    </rPh>
    <phoneticPr fontId="4"/>
  </si>
  <si>
    <t>（体重）</t>
    <rPh sb="1" eb="3">
      <t>タイジュウ</t>
    </rPh>
    <phoneticPr fontId="4"/>
  </si>
  <si>
    <t>ワンポイントアドバイス</t>
  </si>
  <si>
    <t>　体重はＢＭＩ指数が標準になるようにしましょう。これは統計的にみて病気にかかりにくい体重といえます。肥満は将来、成人病になりやすくなります。脂肪や糖分の多い食事やお菓子などの間食はできるだけさけましょう。また運動不足で筋力が減少すると、同じ食事でも脂肪がつきやすい状態になります。</t>
    <rPh sb="1" eb="3">
      <t>タイジュウ</t>
    </rPh>
    <rPh sb="7" eb="9">
      <t>シスウ</t>
    </rPh>
    <rPh sb="10" eb="12">
      <t>ヒョウジュン</t>
    </rPh>
    <rPh sb="27" eb="30">
      <t>トウケイテキ</t>
    </rPh>
    <rPh sb="33" eb="35">
      <t>ビョウキ</t>
    </rPh>
    <rPh sb="42" eb="44">
      <t>タイジュウ</t>
    </rPh>
    <rPh sb="50" eb="52">
      <t>ヒマン</t>
    </rPh>
    <rPh sb="53" eb="55">
      <t>ショウライ</t>
    </rPh>
    <rPh sb="56" eb="59">
      <t>セイジンビョウ</t>
    </rPh>
    <rPh sb="70" eb="72">
      <t>シボウ</t>
    </rPh>
    <rPh sb="73" eb="75">
      <t>トウブン</t>
    </rPh>
    <rPh sb="76" eb="77">
      <t>オオ</t>
    </rPh>
    <rPh sb="78" eb="80">
      <t>ショクジ</t>
    </rPh>
    <rPh sb="82" eb="84">
      <t>カシ</t>
    </rPh>
    <rPh sb="87" eb="89">
      <t>カンショク</t>
    </rPh>
    <rPh sb="104" eb="106">
      <t>ウンドウ</t>
    </rPh>
    <rPh sb="106" eb="108">
      <t>フソク</t>
    </rPh>
    <rPh sb="109" eb="111">
      <t>キンリョク</t>
    </rPh>
    <rPh sb="112" eb="114">
      <t>ゲンショウ</t>
    </rPh>
    <rPh sb="118" eb="119">
      <t>オナ</t>
    </rPh>
    <rPh sb="120" eb="122">
      <t>ショクジ</t>
    </rPh>
    <rPh sb="124" eb="126">
      <t>シボウ</t>
    </rPh>
    <rPh sb="132" eb="134">
      <t>ジョウタイ</t>
    </rPh>
    <phoneticPr fontId="4"/>
  </si>
  <si>
    <t>※BMI指数 やせ（18.5未満） 標準（18.5～25未満） 肥満（25～30未満） 高度肥満（30以上）</t>
  </si>
  <si>
    <t xml:space="preserve"> ★記録の分析・評価 </t>
    <rPh sb="2" eb="4">
      <t>キロク</t>
    </rPh>
    <rPh sb="5" eb="7">
      <t>ブンセキ</t>
    </rPh>
    <rPh sb="8" eb="10">
      <t>ヒョウカ</t>
    </rPh>
    <phoneticPr fontId="4"/>
  </si>
  <si>
    <t>県平均</t>
    <rPh sb="0" eb="1">
      <t>ケン</t>
    </rPh>
    <rPh sb="1" eb="3">
      <t>ヘイキン</t>
    </rPh>
    <phoneticPr fontId="4"/>
  </si>
  <si>
    <t>学年</t>
    <rPh sb="0" eb="2">
      <t>ガクネン</t>
    </rPh>
    <phoneticPr fontId="4"/>
  </si>
  <si>
    <t>No</t>
  </si>
  <si>
    <t>評価</t>
    <rPh sb="0" eb="2">
      <t>ヒョウカ</t>
    </rPh>
    <phoneticPr fontId="4"/>
  </si>
  <si>
    <t>No選択→</t>
    <rPh sb="2" eb="4">
      <t>センタク</t>
    </rPh>
    <phoneticPr fontId="4"/>
  </si>
  <si>
    <t>項目選択→</t>
    <rPh sb="0" eb="2">
      <t>コウモク</t>
    </rPh>
    <rPh sb="2" eb="4">
      <t>センタク</t>
    </rPh>
    <phoneticPr fontId="4"/>
  </si>
  <si>
    <t xml:space="preserve"> ★記録の推移</t>
    <rPh sb="2" eb="4">
      <t>キロク</t>
    </rPh>
    <rPh sb="5" eb="7">
      <t>スイイ</t>
    </rPh>
    <phoneticPr fontId="4"/>
  </si>
  <si>
    <t xml:space="preserve"> ★記録の入力</t>
    <rPh sb="2" eb="4">
      <t>キロク</t>
    </rPh>
    <rPh sb="5" eb="7">
      <t>ニュウリョク</t>
    </rPh>
    <phoneticPr fontId="4"/>
  </si>
  <si>
    <r>
      <t xml:space="preserve"> 上の表から</t>
    </r>
    <r>
      <rPr>
        <sz val="11"/>
        <rFont val="ＭＳ Ｐゴシック"/>
        <family val="3"/>
        <charset val="128"/>
      </rPr>
      <t>No</t>
    </r>
    <r>
      <rPr>
        <sz val="11"/>
        <rFont val="ＭＳ Ｐゴシック"/>
        <family val="3"/>
        <charset val="128"/>
      </rPr>
      <t>を選択し体力を分析・評価してみましょう。</t>
    </r>
    <rPh sb="1" eb="2">
      <t>ジョウ</t>
    </rPh>
    <rPh sb="3" eb="4">
      <t>ヒョウ</t>
    </rPh>
    <rPh sb="9" eb="11">
      <t>センタク</t>
    </rPh>
    <rPh sb="12" eb="14">
      <t>タイリョク</t>
    </rPh>
    <rPh sb="15" eb="17">
      <t>ブンセキ</t>
    </rPh>
    <rPh sb="18" eb="20">
      <t>ヒョウカ</t>
    </rPh>
    <phoneticPr fontId="4"/>
  </si>
  <si>
    <t>　身長はあなたの骨の発達といえるでしょう。丈夫な骨は、骨折などのケガも防いでくれます。骨の発達には、カルシウムを多く含んだ食事が必要です。ジュースのかわりに牛乳を飲み、小魚も食べましょう。また運動により骨が刺激され発達します。成長期である今こそ身長を伸ばすチャンスです。</t>
    <rPh sb="1" eb="3">
      <t>シンチョウ</t>
    </rPh>
    <rPh sb="8" eb="9">
      <t>ホネ</t>
    </rPh>
    <rPh sb="10" eb="12">
      <t>ハッタツ</t>
    </rPh>
    <rPh sb="43" eb="44">
      <t>ホネ</t>
    </rPh>
    <rPh sb="45" eb="47">
      <t>ハッタツ</t>
    </rPh>
    <rPh sb="56" eb="57">
      <t>オオ</t>
    </rPh>
    <rPh sb="58" eb="59">
      <t>フク</t>
    </rPh>
    <rPh sb="61" eb="63">
      <t>ショクジ</t>
    </rPh>
    <rPh sb="64" eb="66">
      <t>ヒツヨウ</t>
    </rPh>
    <rPh sb="78" eb="80">
      <t>ギュウニュウ</t>
    </rPh>
    <rPh sb="81" eb="82">
      <t>ノ</t>
    </rPh>
    <rPh sb="84" eb="86">
      <t>コザカナ</t>
    </rPh>
    <rPh sb="87" eb="88">
      <t>タ</t>
    </rPh>
    <rPh sb="113" eb="116">
      <t>セイチョウキ</t>
    </rPh>
    <rPh sb="119" eb="120">
      <t>イマ</t>
    </rPh>
    <rPh sb="122" eb="124">
      <t>シンチョウ</t>
    </rPh>
    <rPh sb="125" eb="126">
      <t>ノ</t>
    </rPh>
    <phoneticPr fontId="4"/>
  </si>
  <si>
    <t>男　　子</t>
    <rPh sb="0" eb="1">
      <t>オトコ</t>
    </rPh>
    <rPh sb="3" eb="4">
      <t>コ</t>
    </rPh>
    <phoneticPr fontId="4"/>
  </si>
  <si>
    <t>得点</t>
  </si>
  <si>
    <t>握　力</t>
  </si>
  <si>
    <t>50m走</t>
  </si>
  <si>
    <t>23～25</t>
  </si>
  <si>
    <t>35～39</t>
  </si>
  <si>
    <t>20～22</t>
  </si>
  <si>
    <t>38～42</t>
  </si>
  <si>
    <t>30～34</t>
  </si>
  <si>
    <t>17～19</t>
  </si>
  <si>
    <t>18～19</t>
  </si>
  <si>
    <t>14～16</t>
  </si>
  <si>
    <t>15～17</t>
  </si>
  <si>
    <t>27～29</t>
  </si>
  <si>
    <t>8～9</t>
  </si>
  <si>
    <t>7回以下</t>
  </si>
  <si>
    <t>女　　子</t>
    <rPh sb="0" eb="1">
      <t>ジョ</t>
    </rPh>
    <phoneticPr fontId="4"/>
  </si>
  <si>
    <t>22～24</t>
  </si>
  <si>
    <t>43～46</t>
  </si>
  <si>
    <t>54～63</t>
  </si>
  <si>
    <t>19～21</t>
  </si>
  <si>
    <t>44～53</t>
  </si>
  <si>
    <t>16～18</t>
  </si>
  <si>
    <t>16～17</t>
  </si>
  <si>
    <t>37～40</t>
  </si>
  <si>
    <t>35～43</t>
  </si>
  <si>
    <t>13～15</t>
  </si>
  <si>
    <t>14～15</t>
  </si>
  <si>
    <t>32～35</t>
  </si>
  <si>
    <t>11～12</t>
  </si>
  <si>
    <t>12～13</t>
  </si>
  <si>
    <t>8～10</t>
  </si>
  <si>
    <t>25～27</t>
  </si>
  <si>
    <t>総合得点評価基準表</t>
    <rPh sb="0" eb="2">
      <t>ソウゴウ</t>
    </rPh>
    <rPh sb="2" eb="4">
      <t>トクテン</t>
    </rPh>
    <rPh sb="4" eb="6">
      <t>ヒョウカ</t>
    </rPh>
    <rPh sb="6" eb="8">
      <t>キジュン</t>
    </rPh>
    <rPh sb="8" eb="9">
      <t>ヒョウ</t>
    </rPh>
    <phoneticPr fontId="4"/>
  </si>
  <si>
    <t>段階</t>
  </si>
  <si>
    <t>65以上</t>
  </si>
  <si>
    <t>33～38</t>
  </si>
  <si>
    <t>21以下</t>
  </si>
  <si>
    <t>26以下</t>
  </si>
  <si>
    <t>56kg以上</t>
  </si>
  <si>
    <t>35回以上</t>
  </si>
  <si>
    <t>64cm以上</t>
  </si>
  <si>
    <t>63点以上</t>
  </si>
  <si>
    <t>4' 59"以下</t>
  </si>
  <si>
    <t>51～55</t>
  </si>
  <si>
    <t>33～34</t>
  </si>
  <si>
    <t>58～63</t>
  </si>
  <si>
    <t>60～62</t>
  </si>
  <si>
    <t>5' 00"～5' 16"</t>
  </si>
  <si>
    <t>47～50</t>
  </si>
  <si>
    <t>30～32</t>
  </si>
  <si>
    <t>53～57</t>
  </si>
  <si>
    <t>56～59</t>
  </si>
  <si>
    <t>5' 17"～5' 33"</t>
  </si>
  <si>
    <t>49～52</t>
  </si>
  <si>
    <t>53～55</t>
  </si>
  <si>
    <t>5' 34"～5' 55"</t>
  </si>
  <si>
    <t>25～26</t>
  </si>
  <si>
    <t>44～48</t>
  </si>
  <si>
    <t>5' 56"～6' 22"</t>
  </si>
  <si>
    <t>33～37</t>
  </si>
  <si>
    <t>39～43</t>
  </si>
  <si>
    <t>45～48</t>
  </si>
  <si>
    <t>6' 23"～6' 50"</t>
  </si>
  <si>
    <t>28～32</t>
  </si>
  <si>
    <t>41～44</t>
  </si>
  <si>
    <t>6' 51"～7' 30"</t>
  </si>
  <si>
    <t>23～27</t>
  </si>
  <si>
    <t>7' 31"～8' 19"</t>
  </si>
  <si>
    <t>18～22</t>
  </si>
  <si>
    <t>21～27</t>
  </si>
  <si>
    <t>30～36</t>
  </si>
  <si>
    <t>8' 20"～9' 20"</t>
  </si>
  <si>
    <t>17kg以下</t>
  </si>
  <si>
    <t>12回以下</t>
  </si>
  <si>
    <t>20cm以下</t>
  </si>
  <si>
    <t>29点以下</t>
  </si>
  <si>
    <t>9' 21"以上</t>
  </si>
  <si>
    <t>125回以上</t>
  </si>
  <si>
    <t>6.6秒以下</t>
  </si>
  <si>
    <t>265cm以上</t>
  </si>
  <si>
    <t>37m以上</t>
  </si>
  <si>
    <t>113～124</t>
  </si>
  <si>
    <t>6.7～6.8</t>
  </si>
  <si>
    <t>254～264</t>
  </si>
  <si>
    <t>34～36</t>
  </si>
  <si>
    <t>102～112</t>
  </si>
  <si>
    <t>6.9～7.0</t>
  </si>
  <si>
    <t>242～253</t>
  </si>
  <si>
    <t>31～33</t>
  </si>
  <si>
    <t>90～101</t>
  </si>
  <si>
    <t>7.1～7.2</t>
  </si>
  <si>
    <t>230～241</t>
  </si>
  <si>
    <t>28～30</t>
  </si>
  <si>
    <t>76～89</t>
  </si>
  <si>
    <t>7.3～7.5</t>
  </si>
  <si>
    <t>218～229</t>
  </si>
  <si>
    <t>63～75</t>
  </si>
  <si>
    <t>7.6～7.9</t>
  </si>
  <si>
    <t>203～217</t>
  </si>
  <si>
    <t>51～62</t>
  </si>
  <si>
    <t>8.0～8.4</t>
  </si>
  <si>
    <t>188～202</t>
  </si>
  <si>
    <t>37～50</t>
  </si>
  <si>
    <t>8.5～9.0</t>
  </si>
  <si>
    <t>170～187</t>
  </si>
  <si>
    <t>26～36</t>
  </si>
  <si>
    <t>9.1～9.7</t>
  </si>
  <si>
    <t>150～169</t>
  </si>
  <si>
    <t>25回以下</t>
  </si>
  <si>
    <t>9.8秒以上</t>
  </si>
  <si>
    <t>149cm以下</t>
  </si>
  <si>
    <t>12m以下</t>
  </si>
  <si>
    <t>種　目　別　得　点　表</t>
    <rPh sb="0" eb="1">
      <t>タネ</t>
    </rPh>
    <rPh sb="2" eb="3">
      <t>メ</t>
    </rPh>
    <rPh sb="4" eb="5">
      <t>ベツ</t>
    </rPh>
    <rPh sb="6" eb="7">
      <t>トク</t>
    </rPh>
    <rPh sb="8" eb="9">
      <t>テン</t>
    </rPh>
    <rPh sb="10" eb="11">
      <t>ヒョウ</t>
    </rPh>
    <phoneticPr fontId="4"/>
  </si>
  <si>
    <t>ハンドボール投げ</t>
    <rPh sb="6" eb="7">
      <t>ナ</t>
    </rPh>
    <phoneticPr fontId="4"/>
  </si>
  <si>
    <t>36kg以上</t>
  </si>
  <si>
    <t>29回以上</t>
  </si>
  <si>
    <t>63cm以上</t>
  </si>
  <si>
    <t>53点以上</t>
  </si>
  <si>
    <t>3' 49"以下</t>
  </si>
  <si>
    <t>33～35</t>
  </si>
  <si>
    <t>26～28</t>
  </si>
  <si>
    <t>58～62</t>
  </si>
  <si>
    <t>50～52</t>
  </si>
  <si>
    <t>3' 50"～4' 02"</t>
  </si>
  <si>
    <t>54～57</t>
  </si>
  <si>
    <t>48～49</t>
  </si>
  <si>
    <t>4' 03"～4' 19"</t>
  </si>
  <si>
    <t>28～29</t>
  </si>
  <si>
    <t>50～53</t>
  </si>
  <si>
    <t>45～47</t>
  </si>
  <si>
    <t>4' 20"～4' 37"</t>
  </si>
  <si>
    <t>45～49</t>
  </si>
  <si>
    <t>42～44</t>
  </si>
  <si>
    <t>4' 38"～4' 56"</t>
  </si>
  <si>
    <t>23～24</t>
  </si>
  <si>
    <t>40～44</t>
  </si>
  <si>
    <t>39～41</t>
  </si>
  <si>
    <t>4' 57"～5' 18"</t>
  </si>
  <si>
    <t>13～14</t>
  </si>
  <si>
    <t>36～38</t>
  </si>
  <si>
    <t>5' 19"～5' 42"</t>
  </si>
  <si>
    <t>5' 43"～6' 14"</t>
  </si>
  <si>
    <t>23～29</t>
  </si>
  <si>
    <t>27～31</t>
  </si>
  <si>
    <t>6' 15"～6' 57"</t>
  </si>
  <si>
    <t>13kg以下</t>
  </si>
  <si>
    <t>22cm以下</t>
  </si>
  <si>
    <t>26点以下</t>
  </si>
  <si>
    <t>6' 58"以上</t>
  </si>
  <si>
    <t>88回以上</t>
  </si>
  <si>
    <t>7.7秒以下</t>
  </si>
  <si>
    <t>210cm以上</t>
  </si>
  <si>
    <t>23m以上</t>
  </si>
  <si>
    <t>76～87</t>
  </si>
  <si>
    <t>7.8～8.0</t>
  </si>
  <si>
    <t>200～209</t>
  </si>
  <si>
    <t>64～75</t>
  </si>
  <si>
    <t>8.1～8.3</t>
  </si>
  <si>
    <t>190～199</t>
  </si>
  <si>
    <t>8.4～8.6</t>
  </si>
  <si>
    <t>179～189</t>
  </si>
  <si>
    <t>8.7～8.9</t>
  </si>
  <si>
    <t>168～178</t>
  </si>
  <si>
    <t>9.0～9.3</t>
  </si>
  <si>
    <t>157～167</t>
  </si>
  <si>
    <t>27～34</t>
  </si>
  <si>
    <t>9.4～9.8</t>
  </si>
  <si>
    <t>145～156</t>
  </si>
  <si>
    <t>21～26</t>
  </si>
  <si>
    <t>.9～10.3</t>
  </si>
  <si>
    <t>132～144</t>
  </si>
  <si>
    <t>15～20</t>
  </si>
  <si>
    <t>10.4～11.2</t>
  </si>
  <si>
    <t>118～131</t>
  </si>
  <si>
    <t>14回以下</t>
  </si>
  <si>
    <t>11.3秒以上</t>
  </si>
  <si>
    <t>117cm以下</t>
  </si>
  <si>
    <t>7m以下</t>
  </si>
  <si>
    <t>51以上</t>
  </si>
  <si>
    <t>57以上</t>
  </si>
  <si>
    <t>60以上</t>
  </si>
  <si>
    <t>61以上</t>
  </si>
  <si>
    <t>63以上</t>
  </si>
  <si>
    <t>41～50</t>
  </si>
  <si>
    <t>47～56</t>
  </si>
  <si>
    <t>51～59</t>
  </si>
  <si>
    <t>52～60</t>
  </si>
  <si>
    <t>53～62</t>
  </si>
  <si>
    <t>54～64</t>
  </si>
  <si>
    <t>32～40</t>
  </si>
  <si>
    <t>37～46</t>
  </si>
  <si>
    <t>41～51</t>
  </si>
  <si>
    <t>42～52</t>
  </si>
  <si>
    <t>43～53</t>
  </si>
  <si>
    <t>22～31</t>
  </si>
  <si>
    <t>27～36</t>
  </si>
  <si>
    <t>31～40</t>
  </si>
  <si>
    <t>31～41</t>
  </si>
  <si>
    <t>31～42</t>
  </si>
  <si>
    <t>30以下</t>
  </si>
  <si>
    <t>中１（12歳）</t>
    <rPh sb="0" eb="1">
      <t>チュウ</t>
    </rPh>
    <phoneticPr fontId="4"/>
  </si>
  <si>
    <t>中２（13歳）</t>
    <rPh sb="0" eb="1">
      <t>チュウ</t>
    </rPh>
    <phoneticPr fontId="4"/>
  </si>
  <si>
    <t>中３（14歳）</t>
    <rPh sb="0" eb="1">
      <t>チュウ</t>
    </rPh>
    <phoneticPr fontId="4"/>
  </si>
  <si>
    <t>高１（15歳）</t>
    <rPh sb="0" eb="1">
      <t>コウ</t>
    </rPh>
    <phoneticPr fontId="4"/>
  </si>
  <si>
    <t>高２（16歳）</t>
    <rPh sb="0" eb="1">
      <t>コウ</t>
    </rPh>
    <phoneticPr fontId="4"/>
  </si>
  <si>
    <t>高３（17歳）</t>
    <rPh sb="0" eb="1">
      <t>コウ</t>
    </rPh>
    <phoneticPr fontId="4"/>
  </si>
  <si>
    <t>ｼｬﾄﾙﾗﾝ</t>
  </si>
  <si>
    <t>ｼｬﾄﾙﾗﾝ</t>
  </si>
  <si>
    <t>高１</t>
  </si>
  <si>
    <t>新体力テスト自己診断ソフト(中・高校生版)</t>
    <rPh sb="0" eb="2">
      <t>シンタイ</t>
    </rPh>
    <rPh sb="2" eb="3">
      <t>リョク</t>
    </rPh>
    <rPh sb="6" eb="8">
      <t>ジコ</t>
    </rPh>
    <rPh sb="8" eb="10">
      <t>シンダン</t>
    </rPh>
    <rPh sb="14" eb="15">
      <t>チュウ</t>
    </rPh>
    <rPh sb="16" eb="19">
      <t>コウコウセイ</t>
    </rPh>
    <rPh sb="19" eb="20">
      <t>バン</t>
    </rPh>
    <phoneticPr fontId="4"/>
  </si>
  <si>
    <t>よりかなり不足のようです。</t>
    <rPh sb="5" eb="7">
      <t>フソク</t>
    </rPh>
    <phoneticPr fontId="4"/>
  </si>
  <si>
    <t>男</t>
    <rPh sb="0" eb="1">
      <t>ダン</t>
    </rPh>
    <phoneticPr fontId="4"/>
  </si>
  <si>
    <t>9.9～10.3</t>
  </si>
  <si>
    <t xml:space="preserve">筋力 </t>
  </si>
  <si>
    <t xml:space="preserve">筋持久力 </t>
    <rPh sb="0" eb="1">
      <t>キン</t>
    </rPh>
    <rPh sb="1" eb="4">
      <t>ジキュウリョク</t>
    </rPh>
    <phoneticPr fontId="4"/>
  </si>
  <si>
    <t xml:space="preserve">柔軟性 </t>
    <rPh sb="0" eb="3">
      <t>ジュウナンセイ</t>
    </rPh>
    <phoneticPr fontId="4"/>
  </si>
  <si>
    <t xml:space="preserve">敏しょう性 </t>
    <rPh sb="0" eb="1">
      <t>ビン</t>
    </rPh>
    <rPh sb="4" eb="5">
      <t>セイ</t>
    </rPh>
    <phoneticPr fontId="4"/>
  </si>
  <si>
    <t xml:space="preserve">全身持久力 </t>
    <rPh sb="0" eb="2">
      <t>ゼンシン</t>
    </rPh>
    <rPh sb="2" eb="5">
      <t>ジキュウリョク</t>
    </rPh>
    <phoneticPr fontId="4"/>
  </si>
  <si>
    <t xml:space="preserve">走力 </t>
    <rPh sb="0" eb="2">
      <t>ソウリョク</t>
    </rPh>
    <phoneticPr fontId="4"/>
  </si>
  <si>
    <t xml:space="preserve">跳躍力 </t>
    <rPh sb="0" eb="2">
      <t>チョウヤク</t>
    </rPh>
    <rPh sb="2" eb="3">
      <t>リョク</t>
    </rPh>
    <phoneticPr fontId="4"/>
  </si>
  <si>
    <t xml:space="preserve">投力 </t>
    <rPh sb="0" eb="1">
      <t>トウ</t>
    </rPh>
    <rPh sb="1" eb="2">
      <t>リョク</t>
    </rPh>
    <phoneticPr fontId="4"/>
  </si>
  <si>
    <t>握力(平均)</t>
  </si>
  <si>
    <t>ﾊﾝﾄﾞﾎﾞｰﾙ投</t>
  </si>
  <si>
    <t xml:space="preserve">跳躍力 全身持久力 </t>
  </si>
  <si>
    <t>立ち
幅とび</t>
  </si>
  <si>
    <t>長座
体前屈</t>
  </si>
  <si>
    <t>高１</t>
    <rPh sb="0" eb="1">
      <t>コウ</t>
    </rPh>
    <phoneticPr fontId="4"/>
  </si>
  <si>
    <t>高３</t>
    <rPh sb="0" eb="1">
      <t>コウ</t>
    </rPh>
    <phoneticPr fontId="4"/>
  </si>
  <si>
    <t>より不足しているところがあります。</t>
    <rPh sb="2" eb="4">
      <t>フソク</t>
    </rPh>
    <phoneticPr fontId="4"/>
  </si>
  <si>
    <t>伸び</t>
    <rPh sb="0" eb="1">
      <t>ノ</t>
    </rPh>
    <phoneticPr fontId="4"/>
  </si>
  <si>
    <t>　握力は、上肢・主に手（指）の筋力のテストです。中高生期は筋力アップに適した時期です。握力をさらにアップしていくためには、手の握る力だけでなく、腕全体の力を高めていくために鉄棒での懸垂運動や腕立て伏せの負荷を変化させたり回数を考えながらやってみましょう。</t>
  </si>
  <si>
    <t>　上体起こしは上半身の筋力（腹筋）のテストです。中高生期は筋力アップに適した時期です。上体起こしには腹筋の力が必要となります。腹筋の筋力アップの際には、足を曲げて行いましょう。また、手の位置を変えて（頭の後ろ・上・胸の前・体の横など）自分の力を確かめながらトレーニングしましょう。</t>
  </si>
  <si>
    <t>　長座体前屈は、体の柔らかさを測定するテストです。体の柔らかさは、運動行うだけでなく、生活をしていく上で必要な力です。さらに柔軟性を高めていくためには、開脚や股関節の可動範囲を広げるようなストレッチのメニューに取り組んでみましょう。少しの時間であっても毎日続けてみましょう。</t>
  </si>
  <si>
    <t>　反復横跳びは、巧みな動きや敏捷性のテストです。素早い動きを必要とする切り返しが動きがポイントになります。単調な足の運びを自分に合わせて工夫して、２～３ステップでの反復運動や、クロスステップを取り入れたりしてさらに体の動きを高めて行きましょう。</t>
  </si>
  <si>
    <t>　持久走・シャトルランは全身持久走（心肺機能）のテストです。持久走はきついイメージですが、早足で１０分程度歩くだけでも効果的です。ニコニコしながら行えるペースを保ち、少しずつ時間や距離を伸ばしていきましょう。将来心臓病などの生活習慣病にならないためにも、定期的に歩く・走る習慣をつけることが大事です。</t>
  </si>
  <si>
    <t>　５０ｍ走は走力（筋力・瞬発力・敏捷性）のテストです。素早い動きを意識して走ってみましょう。力が入りすぎると動きが硬くなり、かえって遅くなります。リラックスして、３０ｍ程のダッシュをくり返してみましょう。また、良いフォームを身につけることも大事です。先生や友だちに走り方を見てもらいましょう。</t>
  </si>
  <si>
    <t>　立ち幅跳びとは跳躍力（筋力・瞬発力）のテストです。あなたの跳躍力は良いようです。歩道橋の階段を２段ずつかけ上がったり、１日数回目標の高さを決めてジャンプして、さらに跳躍力を伸ばしましょう。また、片足踏切にもトライしてみましょう。ただし、足をひねらないように着地には十分気をつけましょう。</t>
  </si>
  <si>
    <t>　ハンドボール投げは投力（肩の筋力・瞬発力）のテストですが、あなたの投力は良いようです。左右のバランスを考え、さらに投力をつけていきましょう。しかし、投げるときに肩の力に頼りすぎると肩を痛めてしまいます。肩のストレッチを行い、腹筋・背筋や下半身を使って投げることを心がければ、もっと距離が伸びるでしょう。</t>
  </si>
  <si>
    <t>　握力は、上肢・主に手（指）の筋力のテストです。中高生期は筋力アップに適した時期です。握力アップは、場所や時間を選ばずいつでもどこでもできます。柔らかいボールを使ったり、手の開閉をするだけで手軽に高められます。一度にたくさんやるよりも毎日続けることが大切です。</t>
  </si>
  <si>
    <t>　上体起こしは上半身の筋力（腹筋）のテストです。中高生期は筋力アップに適した時期です。上体起こしには腹筋の力が必要となります。腹筋の筋力アップの際には、足を曲げて行いましょう。また、足を押さえてもらい、体を起こしやすくした上で行うと効果的です。自分の力を確かめながらトレーニングしましょう。</t>
  </si>
  <si>
    <t>　長座体前屈は、体の柔らかさを測定するテストです。体の柔らかさは、運動行うだけでなく、生活をしていく上で必要な力です。けがを防いだり、軽くするためにも高めておくことが大切です。お風呂上がりや寝る前などのに少しの時間、毎日こつこつと自分にあったストレッチを続けることが記録向上の「カギ」となります。</t>
  </si>
  <si>
    <t>　反復横跳びは、巧みな動きや敏捷性のテストです。素早い動きを必要とする切り返しが動きがポイントになります。足の運びは単調ですが、日常にもプラスになる動きがあります。まずは、体を起こして前をみながら左右方向への足さばきを、リズミカルに動かしてみましょう。</t>
  </si>
  <si>
    <t>　持久走・シャトルランは全身持久走（心肺機能）のテストです。あまたの持久力は良いようです。運動を継続して、持久力をさらに伸ばしましょう。しかし、運動をやめてしまうと、短期間で持久力は落ちてしまいます。将来心臓病などの生活習慣病にならないためにも、定期的に運動する習慣をつけることが大事です。</t>
  </si>
  <si>
    <t>　ハンドボール投げは投力（肩の筋力・瞬発力）のテストですが、キャッチボールなど投げる動作の経験が少ないとうまく投げられなかったりします。両肩を大きく回すことから始め、丸めたタオルで投げる動作（シャドーピッチング）をやってみましょう。また、学校で友達とキャッチボールをやってみるのも良いでしょう。</t>
  </si>
  <si>
    <t>持久走（秒）</t>
  </si>
  <si>
    <t>パワーアップ・ナビ</t>
  </si>
  <si>
    <t>新体力テスト種目別熊本県基準値と標準偏差</t>
    <rPh sb="6" eb="8">
      <t>シュモク</t>
    </rPh>
    <rPh sb="8" eb="9">
      <t>ベツ</t>
    </rPh>
    <rPh sb="9" eb="12">
      <t>クマモトケン</t>
    </rPh>
    <rPh sb="12" eb="15">
      <t>キジュンチ</t>
    </rPh>
    <rPh sb="16" eb="18">
      <t>ヒョウジュン</t>
    </rPh>
    <rPh sb="18" eb="20">
      <t>ヘンサ</t>
    </rPh>
    <phoneticPr fontId="4"/>
  </si>
  <si>
    <t>※過去のデータより熊本県基準値として算出しています。（熊本県体力向上推進員会）</t>
    <rPh sb="1" eb="3">
      <t>カコ</t>
    </rPh>
    <rPh sb="9" eb="12">
      <t>クマモトケン</t>
    </rPh>
    <rPh sb="12" eb="15">
      <t>キジュンチ</t>
    </rPh>
    <rPh sb="18" eb="20">
      <t>サンシュツ</t>
    </rPh>
    <rPh sb="27" eb="30">
      <t>クマモトケン</t>
    </rPh>
    <rPh sb="30" eb="32">
      <t>タイリョク</t>
    </rPh>
    <rPh sb="32" eb="34">
      <t>コウジョウ</t>
    </rPh>
    <rPh sb="34" eb="37">
      <t>スイシンイン</t>
    </rPh>
    <rPh sb="37" eb="38">
      <t>カイ</t>
    </rPh>
    <phoneticPr fontId="4"/>
  </si>
  <si>
    <t>県基準値</t>
    <rPh sb="0" eb="1">
      <t>ケン</t>
    </rPh>
    <rPh sb="1" eb="4">
      <t>キジュンチ</t>
    </rPh>
    <phoneticPr fontId="4"/>
  </si>
  <si>
    <t>月</t>
    <rPh sb="0" eb="1">
      <t>ツキ</t>
    </rPh>
    <phoneticPr fontId="4"/>
  </si>
  <si>
    <t>テスト実施</t>
    <rPh sb="3" eb="5">
      <t>ジッシ</t>
    </rPh>
    <phoneticPr fontId="4"/>
  </si>
  <si>
    <r>
      <t>kg</t>
    </r>
    <r>
      <rPr>
        <sz val="11"/>
        <rFont val="ＭＳ Ｐゴシック"/>
        <family val="3"/>
        <charset val="128"/>
      </rPr>
      <t xml:space="preserve"> </t>
    </r>
    <r>
      <rPr>
        <sz val="11"/>
        <rFont val="ＭＳ Ｐゴシック"/>
        <family val="3"/>
        <charset val="128"/>
      </rPr>
      <t>※ＢＭＩ指数</t>
    </r>
    <rPh sb="7" eb="9">
      <t>シスウ</t>
    </rPh>
    <phoneticPr fontId="4"/>
  </si>
  <si>
    <r>
      <t>cm</t>
    </r>
    <r>
      <rPr>
        <sz val="11"/>
        <rFont val="ＭＳ Ｐゴシック"/>
        <family val="3"/>
        <charset val="128"/>
      </rPr>
      <t xml:space="preserve"> </t>
    </r>
    <r>
      <rPr>
        <sz val="11"/>
        <rFont val="ＭＳ Ｐゴシック"/>
        <family val="3"/>
        <charset val="128"/>
      </rPr>
      <t>体重</t>
    </r>
    <rPh sb="3" eb="5">
      <t>タイジュウ</t>
    </rPh>
    <phoneticPr fontId="4"/>
  </si>
  <si>
    <t>12月</t>
  </si>
  <si>
    <t>4月</t>
  </si>
  <si>
    <t>5月</t>
  </si>
  <si>
    <t>6月</t>
  </si>
  <si>
    <t>7月</t>
  </si>
  <si>
    <t>8月</t>
  </si>
  <si>
    <t>9月</t>
  </si>
  <si>
    <t>10月</t>
  </si>
  <si>
    <t>11月</t>
  </si>
  <si>
    <t>1月</t>
  </si>
  <si>
    <t>2月</t>
  </si>
  <si>
    <t>3月</t>
  </si>
  <si>
    <t>中１-4月</t>
  </si>
  <si>
    <t>中１-5月</t>
  </si>
  <si>
    <t>中１-6月</t>
  </si>
  <si>
    <t>中１-7月</t>
  </si>
  <si>
    <t>中１-8月</t>
  </si>
  <si>
    <t>中１-9月</t>
  </si>
  <si>
    <t>中１-10月</t>
  </si>
  <si>
    <t>中１-11月</t>
  </si>
  <si>
    <t>中１-12月</t>
  </si>
  <si>
    <t>中１-1月</t>
  </si>
  <si>
    <t>中１-2月</t>
  </si>
  <si>
    <t>中１-3月</t>
  </si>
  <si>
    <t>中２-4月</t>
  </si>
  <si>
    <t>中２-5月</t>
  </si>
  <si>
    <t>中２-6月</t>
  </si>
  <si>
    <t>中２-7月</t>
  </si>
  <si>
    <t>中２-8月</t>
  </si>
  <si>
    <t>中２-9月</t>
  </si>
  <si>
    <t>中２-10月</t>
  </si>
  <si>
    <t>中２-11月</t>
  </si>
  <si>
    <t>中２-12月</t>
  </si>
  <si>
    <t>中２-1月</t>
  </si>
  <si>
    <t>中２-2月</t>
  </si>
  <si>
    <t>中２-3月</t>
  </si>
  <si>
    <t>中３-4月</t>
  </si>
  <si>
    <t>中３-5月</t>
  </si>
  <si>
    <t>中３-6月</t>
  </si>
  <si>
    <t>中３-7月</t>
  </si>
  <si>
    <t>中３-8月</t>
  </si>
  <si>
    <t>中３-9月</t>
  </si>
  <si>
    <t>中３-10月</t>
  </si>
  <si>
    <t>中３-11月</t>
  </si>
  <si>
    <t>中３-12月</t>
  </si>
  <si>
    <t>中３-1月</t>
  </si>
  <si>
    <t>中３-2月</t>
  </si>
  <si>
    <t>中３-3月</t>
  </si>
  <si>
    <t>高１-4月</t>
  </si>
  <si>
    <t>高１-5月</t>
  </si>
  <si>
    <t>高１-6月</t>
  </si>
  <si>
    <t>高１-7月</t>
  </si>
  <si>
    <t>高１-8月</t>
  </si>
  <si>
    <t>高１-9月</t>
  </si>
  <si>
    <t>高１-10月</t>
  </si>
  <si>
    <t>高１-11月</t>
  </si>
  <si>
    <t>高１-12月</t>
  </si>
  <si>
    <t>高１-1月</t>
  </si>
  <si>
    <t>高１-2月</t>
  </si>
  <si>
    <t>高１-3月</t>
  </si>
  <si>
    <t>高２-4月</t>
  </si>
  <si>
    <t>高２-5月</t>
  </si>
  <si>
    <t>高２-6月</t>
  </si>
  <si>
    <t>高２-7月</t>
  </si>
  <si>
    <t>高２-8月</t>
  </si>
  <si>
    <t>高２-9月</t>
  </si>
  <si>
    <t>高２-10月</t>
  </si>
  <si>
    <t>高２-11月</t>
  </si>
  <si>
    <t>高２-12月</t>
  </si>
  <si>
    <t>高２-1月</t>
  </si>
  <si>
    <t>高２-2月</t>
  </si>
  <si>
    <t>高２-3月</t>
  </si>
  <si>
    <t>高３-4月</t>
  </si>
  <si>
    <t>高３-5月</t>
  </si>
  <si>
    <t>高３-6月</t>
  </si>
  <si>
    <t>高３-7月</t>
  </si>
  <si>
    <t>高３-8月</t>
  </si>
  <si>
    <t>高３-9月</t>
  </si>
  <si>
    <t>高３-10月</t>
  </si>
  <si>
    <t>高３-11月</t>
  </si>
  <si>
    <t>高３-12月</t>
  </si>
  <si>
    <t>高３-1月</t>
  </si>
  <si>
    <t>高３-2月</t>
  </si>
  <si>
    <t>高３-3月</t>
  </si>
  <si>
    <t>基準以下コメント</t>
    <rPh sb="0" eb="2">
      <t>キジュン</t>
    </rPh>
    <rPh sb="2" eb="4">
      <t>イカ</t>
    </rPh>
    <phoneticPr fontId="4"/>
  </si>
  <si>
    <t>基準以上コメント</t>
    <rPh sb="0" eb="2">
      <t>キジュン</t>
    </rPh>
    <rPh sb="2" eb="4">
      <t>イジョウ</t>
    </rPh>
    <phoneticPr fontId="4"/>
  </si>
  <si>
    <t>コメント</t>
  </si>
  <si>
    <t xml:space="preserve"> テストを実施した学年・月で県基準値と比較します、必ず入力してください。</t>
    <rPh sb="5" eb="7">
      <t>ジッシ</t>
    </rPh>
    <rPh sb="9" eb="11">
      <t>ガクネン</t>
    </rPh>
    <rPh sb="12" eb="13">
      <t>ツキ</t>
    </rPh>
    <rPh sb="14" eb="15">
      <t>ケン</t>
    </rPh>
    <rPh sb="15" eb="18">
      <t>キジュンチ</t>
    </rPh>
    <rPh sb="19" eb="21">
      <t>ヒカク</t>
    </rPh>
    <rPh sb="25" eb="26">
      <t>カナラ</t>
    </rPh>
    <rPh sb="27" eb="29">
      <t>ニュウリョク</t>
    </rPh>
    <phoneticPr fontId="4"/>
  </si>
  <si>
    <t>熊本県体力向上推進委員会</t>
    <rPh sb="0" eb="3">
      <t>クマモトケン</t>
    </rPh>
    <phoneticPr fontId="4"/>
  </si>
  <si>
    <r>
      <t>(伸び率</t>
    </r>
    <r>
      <rPr>
        <sz val="11"/>
        <rFont val="ＭＳ Ｐゴシック"/>
        <family val="3"/>
        <charset val="128"/>
      </rPr>
      <t>)</t>
    </r>
    <rPh sb="1" eb="2">
      <t>ノ</t>
    </rPh>
    <rPh sb="3" eb="4">
      <t>リツ</t>
    </rPh>
    <phoneticPr fontId="4"/>
  </si>
  <si>
    <t>◎╲(^-^)y</t>
  </si>
  <si>
    <t>◎╲(^o^)/</t>
  </si>
  <si>
    <t>　５０ｍ走は走力（筋力・瞬発力・敏捷性）のテストです。あなたの走力は良いようです。さらに走力を伸ばすためには、素早くてしかも大きな動きを意識して走ってみましょう。また、力が入りすぎると動きが硬くなり、かえって遅くなります。階段を利用したトレーニングは走力アップに効果的です。</t>
    <rPh sb="111" eb="113">
      <t>カイダン</t>
    </rPh>
    <rPh sb="114" eb="116">
      <t>リヨウ</t>
    </rPh>
    <rPh sb="125" eb="127">
      <t>ソウリョク</t>
    </rPh>
    <rPh sb="131" eb="134">
      <t>コウカテキ</t>
    </rPh>
    <phoneticPr fontId="4"/>
  </si>
  <si>
    <t>　立ち幅跳びとは跳躍力（筋力・瞬発力）のテストです。前に跳ぶことばかり考えていると距離がでませんので、少し上に跳ぶことを意識しましょう。また、跳ぶときに腕をしっかり振ってタイミングよく跳びましょう。歩道橋の階段を２段ずつかけ上がったり、１日数回目標の高さを決めてジャンプしてみるのも良いでしょう。</t>
    <rPh sb="71" eb="72">
      <t>ト</t>
    </rPh>
    <rPh sb="76" eb="77">
      <t>ウデ</t>
    </rPh>
    <rPh sb="82" eb="83">
      <t>フ</t>
    </rPh>
    <phoneticPr fontId="4"/>
  </si>
  <si>
    <t>○ (^-^)</t>
  </si>
  <si>
    <t>○ (^o^)</t>
  </si>
  <si>
    <t>△ (-_-)</t>
  </si>
  <si>
    <t>× (-_-;)</t>
  </si>
  <si>
    <r>
      <t xml:space="preserve"> </t>
    </r>
    <r>
      <rPr>
        <i/>
        <sz val="10"/>
        <color indexed="10"/>
        <rFont val="ＭＳ Ｐゴシック"/>
        <family val="3"/>
        <charset val="128"/>
      </rPr>
      <t>パワーアップナビ！</t>
    </r>
    <r>
      <rPr>
        <sz val="10"/>
        <rFont val="ＭＳ Ｐゴシック"/>
        <family val="3"/>
        <charset val="128"/>
      </rPr>
      <t xml:space="preserve"> Ｔスコアを参考に自分の伸ばしやすい種目から順にパワーアップしてみよう。</t>
    </r>
    <rPh sb="16" eb="18">
      <t>サンコウ</t>
    </rPh>
    <rPh sb="19" eb="21">
      <t>ジブン</t>
    </rPh>
    <rPh sb="22" eb="23">
      <t>ノ</t>
    </rPh>
    <rPh sb="28" eb="30">
      <t>シュモク</t>
    </rPh>
    <rPh sb="32" eb="33">
      <t>ジュン</t>
    </rPh>
    <phoneticPr fontId="4"/>
  </si>
  <si>
    <t>　　　記録の推移をグラフで表示します。</t>
  </si>
  <si>
    <r>
      <t>　パワーアップナビ！</t>
    </r>
    <r>
      <rPr>
        <sz val="10"/>
        <rFont val="ＭＳ Ｐゴシック"/>
        <family val="3"/>
        <charset val="128"/>
      </rPr>
      <t xml:space="preserve"> 次回予定のテスト期日を入力して、自分の目標値を設定しておこう。</t>
    </r>
    <rPh sb="11" eb="13">
      <t>ジカイ</t>
    </rPh>
    <rPh sb="13" eb="15">
      <t>ヨテイ</t>
    </rPh>
    <rPh sb="19" eb="21">
      <t>キジツ</t>
    </rPh>
    <rPh sb="22" eb="24">
      <t>ニュウリョク</t>
    </rPh>
    <rPh sb="27" eb="29">
      <t>ジブン</t>
    </rPh>
    <rPh sb="30" eb="32">
      <t>モクヒョウ</t>
    </rPh>
    <rPh sb="32" eb="33">
      <t>チ</t>
    </rPh>
    <rPh sb="34" eb="36">
      <t>セッテイ</t>
    </rPh>
    <phoneticPr fontId="4"/>
  </si>
  <si>
    <r>
      <t>です。</t>
    </r>
    <r>
      <rPr>
        <sz val="10"/>
        <rFont val="ＭＳ Ｐゴシック"/>
        <family val="3"/>
        <charset val="128"/>
      </rPr>
      <t>標準体重</t>
    </r>
    <r>
      <rPr>
        <sz val="9"/>
        <rFont val="ＭＳ Ｐゴシック"/>
        <family val="3"/>
        <charset val="128"/>
      </rPr>
      <t>は</t>
    </r>
    <rPh sb="3" eb="5">
      <t>ヒョウジュン</t>
    </rPh>
    <rPh sb="5" eb="7">
      <t>タイジュウ</t>
    </rPh>
    <phoneticPr fontId="4"/>
  </si>
  <si>
    <t>推計基準値</t>
    <rPh sb="0" eb="2">
      <t>スイケイ</t>
    </rPh>
    <rPh sb="2" eb="5">
      <t>キジュンチ</t>
    </rPh>
    <phoneticPr fontId="4"/>
  </si>
  <si>
    <t>基準値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</si>
</sst>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9" formatCode="0.00_ "/>
    <numFmt numFmtId="180" formatCode="0.0_ "/>
    <numFmt numFmtId="190" formatCode="#&quot;回&quot;"/>
    <numFmt numFmtId="192" formatCode="#&quot;cm&quot;"/>
    <numFmt numFmtId="194" formatCode="#&quot;点&quot;"/>
    <numFmt numFmtId="196" formatCode="#.#&quot;kg&quot;"/>
    <numFmt numFmtId="197" formatCode="#.#&quot;回&quot;"/>
    <numFmt numFmtId="198" formatCode="#.#&quot;cm&quot;"/>
    <numFmt numFmtId="199" formatCode="#.#&quot;点&quot;"/>
    <numFmt numFmtId="202" formatCode="#.#&quot;m&quot;"/>
    <numFmt numFmtId="203" formatCode="#&quot;m&quot;"/>
    <numFmt numFmtId="204" formatCode="0;;&quot;&quot;"/>
    <numFmt numFmtId="206" formatCode="0.0"/>
    <numFmt numFmtId="207" formatCode="0_);[Red]\(0\)"/>
    <numFmt numFmtId="214" formatCode="#.0&quot;秒&quot;"/>
    <numFmt numFmtId="215" formatCode="#&quot;kg&quot;"/>
    <numFmt numFmtId="217" formatCode="#.0#&quot;秒&quot;"/>
  </numFmts>
  <fonts count="42" x14ac:knownFonts="1">
    <font>
      <sz val="11"/>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8"/>
      <color indexed="13"/>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b/>
      <sz val="16"/>
      <color indexed="13"/>
      <name val="ＭＳ Ｐゴシック"/>
      <family val="3"/>
      <charset val="128"/>
    </font>
    <font>
      <b/>
      <sz val="12"/>
      <name val="ＭＳ Ｐゴシック"/>
      <family val="3"/>
      <charset val="128"/>
    </font>
    <font>
      <b/>
      <sz val="12"/>
      <color indexed="12"/>
      <name val="ＭＳ Ｐゴシック"/>
      <family val="3"/>
      <charset val="128"/>
    </font>
    <font>
      <b/>
      <sz val="11"/>
      <color indexed="12"/>
      <name val="ＭＳ Ｐゴシック"/>
      <family val="3"/>
      <charset val="128"/>
    </font>
    <font>
      <u/>
      <sz val="10"/>
      <name val="ＭＳ Ｐゴシック"/>
      <family val="3"/>
      <charset val="128"/>
    </font>
    <font>
      <u/>
      <sz val="11"/>
      <color indexed="12"/>
      <name val="ＭＳ Ｐゴシック"/>
      <family val="3"/>
      <charset val="128"/>
    </font>
    <font>
      <b/>
      <sz val="13"/>
      <name val="ＭＳ Ｐゴシック"/>
      <family val="3"/>
      <charset val="128"/>
    </font>
    <font>
      <b/>
      <sz val="11"/>
      <color indexed="10"/>
      <name val="ＭＳ Ｐゴシック"/>
      <family val="3"/>
      <charset val="128"/>
    </font>
    <font>
      <b/>
      <sz val="10"/>
      <color indexed="18"/>
      <name val="ＭＳ Ｐゴシック"/>
      <family val="3"/>
      <charset val="128"/>
    </font>
    <font>
      <b/>
      <sz val="16"/>
      <color indexed="18"/>
      <name val="ＭＳ Ｐゴシック"/>
      <family val="3"/>
      <charset val="128"/>
    </font>
    <font>
      <b/>
      <sz val="18"/>
      <color indexed="18"/>
      <name val="ＭＳ ゴシック"/>
      <family val="3"/>
      <charset val="128"/>
    </font>
    <font>
      <sz val="10"/>
      <color indexed="18"/>
      <name val="ＭＳ Ｐゴシック"/>
      <family val="3"/>
      <charset val="128"/>
    </font>
    <font>
      <sz val="11"/>
      <name val="ＭＳ Ｐ明朝"/>
      <family val="1"/>
      <charset val="128"/>
    </font>
    <font>
      <sz val="10"/>
      <color indexed="9"/>
      <name val="ＭＳ Ｐゴシック"/>
      <family val="3"/>
      <charset val="128"/>
    </font>
    <font>
      <i/>
      <sz val="10"/>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51"/>
        <bgColor indexed="64"/>
      </patternFill>
    </fill>
    <fill>
      <patternFill patternType="solid">
        <fgColor indexed="43"/>
        <bgColor indexed="64"/>
      </patternFill>
    </fill>
    <fill>
      <patternFill patternType="solid">
        <fgColor indexed="26"/>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style="thin">
        <color indexed="17"/>
      </left>
      <right/>
      <top/>
      <bottom style="thin">
        <color indexed="17"/>
      </bottom>
      <diagonal/>
    </border>
    <border>
      <left style="thin">
        <color indexed="17"/>
      </left>
      <right style="thin">
        <color indexed="17"/>
      </right>
      <top/>
      <bottom style="thin">
        <color indexed="17"/>
      </bottom>
      <diagonal/>
    </border>
    <border>
      <left style="thin">
        <color indexed="17"/>
      </left>
      <right style="thin">
        <color indexed="17"/>
      </right>
      <top style="thin">
        <color indexed="17"/>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17"/>
      </left>
      <right style="hair">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dotted">
        <color indexed="17"/>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bottom style="thin">
        <color indexed="17"/>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style="thin">
        <color indexed="17"/>
      </bottom>
      <diagonal/>
    </border>
    <border>
      <left style="dotted">
        <color indexed="17"/>
      </left>
      <right style="thin">
        <color indexed="17"/>
      </right>
      <top style="thin">
        <color indexed="17"/>
      </top>
      <bottom style="thin">
        <color indexed="17"/>
      </bottom>
      <diagonal/>
    </border>
    <border>
      <left/>
      <right style="thin">
        <color indexed="17"/>
      </right>
      <top/>
      <bottom style="thin">
        <color indexed="17"/>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top style="thin">
        <color indexed="64"/>
      </top>
      <bottom style="thin">
        <color indexed="64"/>
      </bottom>
      <diagonal/>
    </border>
    <border>
      <left/>
      <right style="thin">
        <color indexed="17"/>
      </right>
      <top style="thin">
        <color indexed="17"/>
      </top>
      <bottom style="thin">
        <color indexed="17"/>
      </bottom>
      <diagonal/>
    </border>
    <border>
      <left style="medium">
        <color indexed="53"/>
      </left>
      <right/>
      <top/>
      <bottom/>
      <diagonal/>
    </border>
    <border>
      <left style="medium">
        <color indexed="53"/>
      </left>
      <right style="medium">
        <color indexed="53"/>
      </right>
      <top style="medium">
        <color indexed="53"/>
      </top>
      <bottom style="medium">
        <color indexed="53"/>
      </bottom>
      <diagonal/>
    </border>
    <border>
      <left style="thin">
        <color indexed="64"/>
      </left>
      <right style="thin">
        <color indexed="53"/>
      </right>
      <top style="thin">
        <color indexed="53"/>
      </top>
      <bottom style="thin">
        <color indexed="53"/>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8"/>
      </top>
      <bottom style="thin">
        <color indexed="8"/>
      </bottom>
      <diagonal/>
    </border>
    <border>
      <left style="hair">
        <color indexed="64"/>
      </left>
      <right style="thin">
        <color indexed="64"/>
      </right>
      <top style="thin">
        <color indexed="8"/>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8"/>
      </top>
      <bottom style="double">
        <color indexed="64"/>
      </bottom>
      <diagonal/>
    </border>
    <border>
      <left style="hair">
        <color indexed="64"/>
      </left>
      <right style="thin">
        <color indexed="64"/>
      </right>
      <top style="thin">
        <color indexed="8"/>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53"/>
      </left>
      <right/>
      <top style="medium">
        <color indexed="53"/>
      </top>
      <bottom style="medium">
        <color indexed="53"/>
      </bottom>
      <diagonal/>
    </border>
    <border>
      <left/>
      <right/>
      <top style="medium">
        <color indexed="53"/>
      </top>
      <bottom style="medium">
        <color indexed="53"/>
      </bottom>
      <diagonal/>
    </border>
    <border>
      <left/>
      <right style="medium">
        <color indexed="53"/>
      </right>
      <top style="medium">
        <color indexed="53"/>
      </top>
      <bottom style="medium">
        <color indexed="53"/>
      </bottom>
      <diagonal/>
    </border>
    <border>
      <left style="double">
        <color indexed="22"/>
      </left>
      <right/>
      <top style="double">
        <color indexed="22"/>
      </top>
      <bottom style="double">
        <color indexed="22"/>
      </bottom>
      <diagonal/>
    </border>
    <border>
      <left/>
      <right/>
      <top style="double">
        <color indexed="22"/>
      </top>
      <bottom style="double">
        <color indexed="22"/>
      </bottom>
      <diagonal/>
    </border>
    <border>
      <left/>
      <right style="double">
        <color indexed="22"/>
      </right>
      <top style="double">
        <color indexed="22"/>
      </top>
      <bottom style="double">
        <color indexed="22"/>
      </bottom>
      <diagonal/>
    </border>
    <border>
      <left/>
      <right/>
      <top style="thin">
        <color indexed="17"/>
      </top>
      <bottom style="thin">
        <color indexed="57"/>
      </bottom>
      <diagonal/>
    </border>
    <border>
      <left/>
      <right style="thin">
        <color indexed="17"/>
      </right>
      <top style="thin">
        <color indexed="17"/>
      </top>
      <bottom style="thin">
        <color indexed="57"/>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0" borderId="0" applyNumberFormat="0" applyFill="0" applyBorder="0" applyAlignment="0" applyProtection="0">
      <alignment vertical="center"/>
    </xf>
    <xf numFmtId="0" fontId="28" fillId="32" borderId="61" applyNumberFormat="0" applyAlignment="0" applyProtection="0">
      <alignment vertical="center"/>
    </xf>
    <xf numFmtId="0" fontId="29" fillId="33" borderId="0" applyNumberFormat="0" applyBorder="0" applyAlignment="0" applyProtection="0">
      <alignment vertical="center"/>
    </xf>
    <xf numFmtId="0" fontId="15" fillId="0" borderId="0" applyNumberFormat="0" applyFill="0" applyBorder="0" applyAlignment="0" applyProtection="0">
      <alignment vertical="top"/>
      <protection locked="0"/>
    </xf>
    <xf numFmtId="0" fontId="2" fillId="6" borderId="62" applyNumberFormat="0" applyFont="0" applyAlignment="0" applyProtection="0">
      <alignment vertical="center"/>
    </xf>
    <xf numFmtId="0" fontId="30" fillId="0" borderId="63" applyNumberFormat="0" applyFill="0" applyAlignment="0" applyProtection="0">
      <alignment vertical="center"/>
    </xf>
    <xf numFmtId="0" fontId="31" fillId="34" borderId="0" applyNumberFormat="0" applyBorder="0" applyAlignment="0" applyProtection="0">
      <alignment vertical="center"/>
    </xf>
    <xf numFmtId="0" fontId="32" fillId="35" borderId="64" applyNumberFormat="0" applyAlignment="0" applyProtection="0">
      <alignment vertical="center"/>
    </xf>
    <xf numFmtId="0" fontId="33" fillId="0" borderId="0" applyNumberFormat="0" applyFill="0" applyBorder="0" applyAlignment="0" applyProtection="0">
      <alignment vertical="center"/>
    </xf>
    <xf numFmtId="0" fontId="34" fillId="0" borderId="65" applyNumberFormat="0" applyFill="0" applyAlignment="0" applyProtection="0">
      <alignment vertical="center"/>
    </xf>
    <xf numFmtId="0" fontId="35" fillId="0" borderId="66" applyNumberFormat="0" applyFill="0" applyAlignment="0" applyProtection="0">
      <alignment vertical="center"/>
    </xf>
    <xf numFmtId="0" fontId="36" fillId="0" borderId="67" applyNumberFormat="0" applyFill="0" applyAlignment="0" applyProtection="0">
      <alignment vertical="center"/>
    </xf>
    <xf numFmtId="0" fontId="36" fillId="0" borderId="0" applyNumberFormat="0" applyFill="0" applyBorder="0" applyAlignment="0" applyProtection="0">
      <alignment vertical="center"/>
    </xf>
    <xf numFmtId="0" fontId="37" fillId="0" borderId="68" applyNumberFormat="0" applyFill="0" applyAlignment="0" applyProtection="0">
      <alignment vertical="center"/>
    </xf>
    <xf numFmtId="0" fontId="38" fillId="35" borderId="69" applyNumberFormat="0" applyAlignment="0" applyProtection="0">
      <alignment vertical="center"/>
    </xf>
    <xf numFmtId="0" fontId="39" fillId="0" borderId="0" applyNumberFormat="0" applyFill="0" applyBorder="0" applyAlignment="0" applyProtection="0">
      <alignment vertical="center"/>
    </xf>
    <xf numFmtId="0" fontId="40" fillId="3" borderId="64" applyNumberFormat="0" applyAlignment="0" applyProtection="0">
      <alignment vertical="center"/>
    </xf>
    <xf numFmtId="0" fontId="22" fillId="0" borderId="0"/>
    <xf numFmtId="0" fontId="22" fillId="0" borderId="0">
      <alignment vertical="center"/>
    </xf>
    <xf numFmtId="0" fontId="41" fillId="36" borderId="0" applyNumberFormat="0" applyBorder="0" applyAlignment="0" applyProtection="0">
      <alignment vertical="center"/>
    </xf>
  </cellStyleXfs>
  <cellXfs count="261">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xf>
    <xf numFmtId="0" fontId="3" fillId="5" borderId="3" xfId="0" applyFont="1" applyFill="1" applyBorder="1" applyAlignment="1">
      <alignment horizontal="center" shrinkToFit="1"/>
    </xf>
    <xf numFmtId="0" fontId="9" fillId="0" borderId="0" xfId="0" applyFont="1" applyAlignment="1">
      <alignment vertical="center"/>
    </xf>
    <xf numFmtId="0" fontId="0" fillId="0" borderId="4" xfId="0" applyBorder="1" applyAlignment="1">
      <alignment horizontal="center"/>
    </xf>
    <xf numFmtId="0" fontId="7" fillId="0" borderId="4" xfId="0" applyFont="1" applyBorder="1" applyAlignment="1">
      <alignment horizontal="center"/>
    </xf>
    <xf numFmtId="0" fontId="0" fillId="0" borderId="4" xfId="0" applyFill="1" applyBorder="1" applyAlignment="1">
      <alignment horizontal="center"/>
    </xf>
    <xf numFmtId="0" fontId="3" fillId="0" borderId="0" xfId="0" applyFont="1" applyFill="1" applyAlignment="1">
      <alignment vertical="center"/>
    </xf>
    <xf numFmtId="0" fontId="3" fillId="0" borderId="0" xfId="0" applyFont="1" applyFill="1" applyAlignment="1">
      <alignment horizontal="center" vertical="center" shrinkToFit="1"/>
    </xf>
    <xf numFmtId="0" fontId="0" fillId="0" borderId="4" xfId="0" applyBorder="1" applyAlignment="1">
      <alignment horizontal="center" vertical="center"/>
    </xf>
    <xf numFmtId="0" fontId="8" fillId="0" borderId="0" xfId="0" applyFont="1" applyBorder="1" applyAlignment="1">
      <alignment horizontal="right" vertical="center"/>
    </xf>
    <xf numFmtId="0" fontId="3" fillId="0" borderId="0" xfId="0" applyFont="1" applyFill="1" applyBorder="1" applyAlignment="1">
      <alignment horizontal="center" vertical="center"/>
    </xf>
    <xf numFmtId="0" fontId="0" fillId="0" borderId="0" xfId="0" applyBorder="1" applyAlignment="1">
      <alignment vertical="center"/>
    </xf>
    <xf numFmtId="194" fontId="0" fillId="5" borderId="4" xfId="0" applyNumberFormat="1" applyFont="1" applyFill="1" applyBorder="1" applyAlignment="1">
      <alignment horizontal="center" vertical="center"/>
    </xf>
    <xf numFmtId="190" fontId="0" fillId="5" borderId="4" xfId="0" applyNumberFormat="1" applyFont="1" applyFill="1" applyBorder="1" applyAlignment="1">
      <alignment horizontal="center" vertical="center" shrinkToFit="1"/>
    </xf>
    <xf numFmtId="192" fontId="0" fillId="5" borderId="4" xfId="0" applyNumberFormat="1" applyFont="1" applyFill="1" applyBorder="1" applyAlignment="1">
      <alignment horizontal="center" vertical="center" shrinkToFit="1"/>
    </xf>
    <xf numFmtId="194" fontId="0" fillId="5" borderId="4" xfId="0" applyNumberFormat="1"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3" fillId="0" borderId="0" xfId="0" applyNumberFormat="1" applyFont="1" applyAlignment="1">
      <alignment vertical="center"/>
    </xf>
    <xf numFmtId="203" fontId="0" fillId="5" borderId="4" xfId="0" applyNumberFormat="1" applyFont="1" applyFill="1" applyBorder="1" applyAlignment="1">
      <alignment horizontal="center" vertical="center" shrinkToFit="1"/>
    </xf>
    <xf numFmtId="180" fontId="0" fillId="2" borderId="4" xfId="0" applyNumberFormat="1" applyFont="1" applyFill="1" applyBorder="1" applyAlignment="1">
      <alignment horizontal="center" vertical="center"/>
    </xf>
    <xf numFmtId="0" fontId="3" fillId="3" borderId="0" xfId="0" applyFont="1" applyFill="1" applyBorder="1" applyAlignment="1">
      <alignment vertical="center"/>
    </xf>
    <xf numFmtId="0" fontId="3" fillId="3" borderId="0" xfId="0" applyFont="1" applyFill="1" applyBorder="1" applyAlignment="1">
      <alignment horizontal="right" vertical="center"/>
    </xf>
    <xf numFmtId="0" fontId="5" fillId="3" borderId="0" xfId="0" applyFont="1" applyFill="1" applyBorder="1" applyAlignment="1">
      <alignment horizontal="center" vertical="center"/>
    </xf>
    <xf numFmtId="0" fontId="10" fillId="3" borderId="5" xfId="0" quotePrefix="1" applyFont="1" applyFill="1" applyBorder="1" applyAlignment="1">
      <alignment horizontal="center" vertical="center"/>
    </xf>
    <xf numFmtId="0" fontId="3" fillId="3" borderId="6" xfId="0" applyFont="1" applyFill="1" applyBorder="1" applyAlignment="1">
      <alignment vertical="center"/>
    </xf>
    <xf numFmtId="0" fontId="3" fillId="3" borderId="6" xfId="0" applyFont="1" applyFill="1" applyBorder="1" applyAlignment="1">
      <alignment horizontal="center" shrinkToFit="1"/>
    </xf>
    <xf numFmtId="0" fontId="3" fillId="3" borderId="6" xfId="0" applyFont="1" applyFill="1" applyBorder="1" applyAlignment="1">
      <alignment horizontal="center" vertical="center" shrinkToFit="1"/>
    </xf>
    <xf numFmtId="0" fontId="6"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3" fillId="3" borderId="8" xfId="0" applyFont="1" applyFill="1" applyBorder="1" applyAlignment="1">
      <alignment vertical="center"/>
    </xf>
    <xf numFmtId="0" fontId="0" fillId="3" borderId="9" xfId="0" applyFont="1" applyFill="1" applyBorder="1" applyAlignment="1">
      <alignment horizontal="center" vertical="center"/>
    </xf>
    <xf numFmtId="0" fontId="6" fillId="0" borderId="0" xfId="0" applyFont="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0" fillId="5" borderId="4" xfId="0" applyNumberFormat="1" applyFont="1" applyFill="1" applyBorder="1" applyAlignment="1">
      <alignment horizontal="center" vertical="center" shrinkToFit="1"/>
    </xf>
    <xf numFmtId="0" fontId="0" fillId="0" borderId="0" xfId="0" applyNumberFormat="1" applyFont="1" applyFill="1" applyBorder="1" applyAlignment="1">
      <alignment horizontal="center" vertical="center" shrinkToFit="1"/>
    </xf>
    <xf numFmtId="0" fontId="0" fillId="0" borderId="0" xfId="0" applyNumberFormat="1" applyFont="1" applyFill="1" applyBorder="1" applyAlignment="1">
      <alignment horizontal="center" vertical="center"/>
    </xf>
    <xf numFmtId="207" fontId="3" fillId="0" borderId="0" xfId="0" applyNumberFormat="1" applyFont="1" applyAlignment="1">
      <alignment vertical="center"/>
    </xf>
    <xf numFmtId="0" fontId="0" fillId="2" borderId="4" xfId="0" applyNumberFormat="1" applyFont="1" applyFill="1" applyBorder="1" applyAlignment="1">
      <alignment horizontal="center" vertical="center" shrinkToFit="1"/>
    </xf>
    <xf numFmtId="0" fontId="3" fillId="0" borderId="0" xfId="0" applyFont="1" applyFill="1" applyBorder="1" applyAlignment="1" applyProtection="1">
      <alignment horizontal="center" vertical="center"/>
      <protection locked="0"/>
    </xf>
    <xf numFmtId="0" fontId="3" fillId="5" borderId="10" xfId="0" applyFont="1" applyFill="1" applyBorder="1" applyAlignment="1">
      <alignment vertical="center"/>
    </xf>
    <xf numFmtId="0" fontId="3" fillId="5" borderId="11" xfId="0" applyFont="1" applyFill="1" applyBorder="1" applyAlignment="1">
      <alignment vertical="center"/>
    </xf>
    <xf numFmtId="0" fontId="3" fillId="5" borderId="0" xfId="0" applyFont="1" applyFill="1" applyBorder="1" applyAlignment="1">
      <alignment vertical="center"/>
    </xf>
    <xf numFmtId="0" fontId="0" fillId="5" borderId="0" xfId="0" applyFont="1" applyFill="1" applyBorder="1" applyAlignment="1">
      <alignment horizontal="right" vertical="center"/>
    </xf>
    <xf numFmtId="0" fontId="3" fillId="5" borderId="5" xfId="0" applyFont="1" applyFill="1" applyBorder="1" applyAlignment="1">
      <alignment vertical="center"/>
    </xf>
    <xf numFmtId="0" fontId="3" fillId="5" borderId="0" xfId="0" applyFont="1" applyFill="1" applyBorder="1" applyAlignment="1">
      <alignment horizontal="center" vertical="center"/>
    </xf>
    <xf numFmtId="0" fontId="3" fillId="5" borderId="6" xfId="0" applyFont="1" applyFill="1" applyBorder="1" applyAlignment="1">
      <alignment vertical="center"/>
    </xf>
    <xf numFmtId="0" fontId="0" fillId="0" borderId="0" xfId="0" applyAlignment="1">
      <alignment horizontal="right" vertical="center"/>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3" fillId="7" borderId="3" xfId="0" applyFont="1" applyFill="1" applyBorder="1" applyAlignment="1">
      <alignment horizontal="center"/>
    </xf>
    <xf numFmtId="0" fontId="3" fillId="7" borderId="1" xfId="0" applyFont="1" applyFill="1" applyBorder="1" applyAlignment="1">
      <alignment horizontal="center" vertical="center"/>
    </xf>
    <xf numFmtId="0" fontId="3" fillId="5" borderId="14" xfId="0" applyFont="1" applyFill="1" applyBorder="1" applyAlignment="1">
      <alignment horizontal="center" shrinkToFit="1"/>
    </xf>
    <xf numFmtId="0" fontId="3" fillId="5" borderId="15" xfId="0" applyFont="1" applyFill="1" applyBorder="1" applyAlignment="1">
      <alignment horizontal="center" shrinkToFit="1"/>
    </xf>
    <xf numFmtId="0" fontId="3" fillId="5" borderId="16" xfId="0" applyFont="1" applyFill="1" applyBorder="1" applyAlignment="1">
      <alignment horizontal="center" vertical="center" shrinkToFit="1"/>
    </xf>
    <xf numFmtId="0" fontId="3" fillId="5" borderId="17" xfId="0" applyFont="1" applyFill="1" applyBorder="1" applyAlignment="1">
      <alignment horizontal="center" vertical="center" shrinkToFit="1"/>
    </xf>
    <xf numFmtId="179" fontId="6" fillId="0" borderId="18" xfId="0" applyNumberFormat="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0" fillId="0" borderId="0" xfId="0" applyAlignment="1">
      <alignment horizontal="left" vertical="center"/>
    </xf>
    <xf numFmtId="0" fontId="6" fillId="0" borderId="4" xfId="0" applyFont="1" applyFill="1" applyBorder="1" applyAlignment="1" applyProtection="1">
      <alignment horizontal="center" vertical="center"/>
      <protection locked="0"/>
    </xf>
    <xf numFmtId="0" fontId="0" fillId="3" borderId="10" xfId="0" quotePrefix="1" applyFont="1" applyFill="1" applyBorder="1" applyAlignment="1">
      <alignment horizontal="center" vertical="center"/>
    </xf>
    <xf numFmtId="0" fontId="3" fillId="2" borderId="20" xfId="0" applyFont="1" applyFill="1" applyBorder="1" applyAlignment="1">
      <alignment horizontal="center" vertical="center"/>
    </xf>
    <xf numFmtId="0" fontId="12" fillId="3" borderId="11" xfId="0" applyFont="1" applyFill="1" applyBorder="1" applyAlignment="1">
      <alignment vertical="center"/>
    </xf>
    <xf numFmtId="196" fontId="0" fillId="2" borderId="4" xfId="0" applyNumberFormat="1" applyFont="1" applyFill="1" applyBorder="1" applyAlignment="1">
      <alignment horizontal="center" vertical="center" shrinkToFit="1"/>
    </xf>
    <xf numFmtId="197" fontId="0" fillId="2" borderId="4" xfId="0" applyNumberFormat="1" applyFont="1" applyFill="1" applyBorder="1" applyAlignment="1">
      <alignment horizontal="center" vertical="center" shrinkToFit="1"/>
    </xf>
    <xf numFmtId="198" fontId="0" fillId="2" borderId="4" xfId="0" applyNumberFormat="1" applyFont="1" applyFill="1" applyBorder="1" applyAlignment="1">
      <alignment horizontal="center" vertical="center" shrinkToFit="1"/>
    </xf>
    <xf numFmtId="199" fontId="0" fillId="2" borderId="4" xfId="0" applyNumberFormat="1" applyFont="1" applyFill="1" applyBorder="1" applyAlignment="1">
      <alignment horizontal="center" vertical="center" shrinkToFit="1"/>
    </xf>
    <xf numFmtId="192" fontId="0" fillId="2" borderId="4" xfId="0" applyNumberFormat="1" applyFont="1" applyFill="1" applyBorder="1" applyAlignment="1">
      <alignment horizontal="center" vertical="center" shrinkToFit="1"/>
    </xf>
    <xf numFmtId="202" fontId="0" fillId="2" borderId="4" xfId="0" applyNumberFormat="1" applyFont="1" applyFill="1" applyBorder="1" applyAlignment="1">
      <alignment horizontal="center" vertical="center" shrinkToFit="1"/>
    </xf>
    <xf numFmtId="0" fontId="0" fillId="3" borderId="0" xfId="0" applyFont="1" applyFill="1" applyBorder="1" applyAlignment="1">
      <alignment vertical="center"/>
    </xf>
    <xf numFmtId="0" fontId="0" fillId="2" borderId="21" xfId="0"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3" borderId="24" xfId="0"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0" fillId="3" borderId="25" xfId="0" applyFill="1" applyBorder="1" applyAlignment="1">
      <alignment horizontal="center" vertical="center" wrapText="1"/>
    </xf>
    <xf numFmtId="0" fontId="0" fillId="0" borderId="0" xfId="0" applyAlignment="1">
      <alignment horizontal="center" vertical="center"/>
    </xf>
    <xf numFmtId="0" fontId="0" fillId="5" borderId="22"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0" xfId="0" applyFill="1" applyBorder="1" applyAlignment="1">
      <alignment vertical="center"/>
    </xf>
    <xf numFmtId="0" fontId="18" fillId="3" borderId="27" xfId="0" quotePrefix="1" applyFont="1" applyFill="1" applyBorder="1" applyAlignment="1">
      <alignment vertical="center" wrapText="1"/>
    </xf>
    <xf numFmtId="0" fontId="18" fillId="3" borderId="10" xfId="0" quotePrefix="1" applyFont="1" applyFill="1" applyBorder="1" applyAlignment="1">
      <alignment vertical="center"/>
    </xf>
    <xf numFmtId="0" fontId="19" fillId="3" borderId="11" xfId="0" quotePrefix="1" applyFont="1" applyFill="1" applyBorder="1" applyAlignment="1">
      <alignment vertical="center"/>
    </xf>
    <xf numFmtId="0" fontId="18" fillId="3" borderId="10" xfId="0" applyFont="1" applyFill="1" applyBorder="1" applyAlignment="1"/>
    <xf numFmtId="0" fontId="6" fillId="0" borderId="12" xfId="0" applyFont="1" applyFill="1" applyBorder="1" applyAlignment="1" applyProtection="1">
      <alignment horizontal="center" vertical="center" shrinkToFit="1"/>
      <protection locked="0"/>
    </xf>
    <xf numFmtId="0" fontId="21" fillId="3" borderId="10" xfId="0" applyFont="1" applyFill="1" applyBorder="1" applyAlignment="1"/>
    <xf numFmtId="0" fontId="3" fillId="2" borderId="4" xfId="0" applyFont="1" applyFill="1" applyBorder="1" applyAlignment="1">
      <alignment horizontal="center" vertical="center" shrinkToFit="1"/>
    </xf>
    <xf numFmtId="0" fontId="3" fillId="7" borderId="0" xfId="0" applyFont="1" applyFill="1" applyBorder="1" applyAlignment="1">
      <alignment horizontal="center" vertical="center"/>
    </xf>
    <xf numFmtId="214" fontId="0" fillId="2" borderId="4" xfId="0" applyNumberFormat="1" applyFont="1" applyFill="1" applyBorder="1" applyAlignment="1">
      <alignment horizontal="center" vertical="center" shrinkToFit="1"/>
    </xf>
    <xf numFmtId="215" fontId="0" fillId="5" borderId="4" xfId="0" applyNumberFormat="1" applyFont="1" applyFill="1" applyBorder="1" applyAlignment="1">
      <alignment horizontal="center" vertical="center" shrinkToFit="1"/>
    </xf>
    <xf numFmtId="0" fontId="6" fillId="0" borderId="12" xfId="0" applyNumberFormat="1" applyFont="1" applyFill="1" applyBorder="1" applyAlignment="1" applyProtection="1">
      <alignment horizontal="center" vertical="center"/>
      <protection locked="0"/>
    </xf>
    <xf numFmtId="217" fontId="0" fillId="5" borderId="4" xfId="0" applyNumberFormat="1" applyFont="1" applyFill="1" applyBorder="1" applyAlignment="1">
      <alignment horizontal="center" vertical="center" shrinkToFit="1"/>
    </xf>
    <xf numFmtId="0" fontId="3" fillId="7" borderId="10" xfId="0" applyFont="1" applyFill="1" applyBorder="1" applyAlignment="1">
      <alignment vertical="center"/>
    </xf>
    <xf numFmtId="0" fontId="12" fillId="7" borderId="11" xfId="0" quotePrefix="1" applyFont="1" applyFill="1" applyBorder="1" applyAlignment="1">
      <alignment horizontal="left" vertical="center"/>
    </xf>
    <xf numFmtId="0" fontId="12" fillId="7" borderId="0" xfId="0" applyFont="1" applyFill="1" applyBorder="1" applyAlignment="1">
      <alignment horizontal="left" vertical="center"/>
    </xf>
    <xf numFmtId="0" fontId="14" fillId="7" borderId="0" xfId="0" applyFont="1" applyFill="1" applyBorder="1" applyAlignment="1">
      <alignment vertical="center" wrapText="1"/>
    </xf>
    <xf numFmtId="0" fontId="12" fillId="7" borderId="0" xfId="0" quotePrefix="1" applyFont="1" applyFill="1" applyBorder="1" applyAlignment="1">
      <alignment horizontal="left" vertical="center"/>
    </xf>
    <xf numFmtId="0" fontId="11" fillId="7" borderId="0" xfId="0" applyFont="1" applyFill="1" applyBorder="1" applyAlignment="1">
      <alignment horizontal="center" vertical="center"/>
    </xf>
    <xf numFmtId="0" fontId="3" fillId="7" borderId="6" xfId="0" applyNumberFormat="1" applyFont="1" applyFill="1" applyBorder="1" applyAlignment="1">
      <alignment horizontal="left" vertical="center" shrinkToFit="1"/>
    </xf>
    <xf numFmtId="0" fontId="3" fillId="7" borderId="5" xfId="0" applyFont="1" applyFill="1" applyBorder="1" applyAlignment="1">
      <alignment vertical="center"/>
    </xf>
    <xf numFmtId="0" fontId="3" fillId="7" borderId="0" xfId="0" applyFont="1" applyFill="1" applyBorder="1" applyAlignment="1">
      <alignment vertical="center"/>
    </xf>
    <xf numFmtId="0" fontId="7" fillId="7" borderId="0" xfId="0" applyNumberFormat="1" applyFont="1" applyFill="1" applyBorder="1" applyAlignment="1">
      <alignment horizontal="center"/>
    </xf>
    <xf numFmtId="0" fontId="7" fillId="7" borderId="6" xfId="0" applyNumberFormat="1" applyFont="1" applyFill="1" applyBorder="1" applyAlignment="1">
      <alignment horizontal="center" vertical="center" shrinkToFit="1"/>
    </xf>
    <xf numFmtId="0" fontId="7" fillId="7" borderId="28" xfId="0" applyFont="1" applyFill="1" applyBorder="1" applyAlignment="1">
      <alignment horizontal="right" vertical="center"/>
    </xf>
    <xf numFmtId="0" fontId="3" fillId="7" borderId="11" xfId="0" applyFont="1" applyFill="1" applyBorder="1" applyAlignment="1">
      <alignment vertical="center"/>
    </xf>
    <xf numFmtId="0" fontId="3" fillId="7" borderId="28" xfId="0" applyFont="1" applyFill="1" applyBorder="1" applyAlignment="1">
      <alignment vertical="center"/>
    </xf>
    <xf numFmtId="0" fontId="3" fillId="7" borderId="29" xfId="0" applyFont="1" applyFill="1" applyBorder="1" applyAlignment="1">
      <alignment vertical="center"/>
    </xf>
    <xf numFmtId="0" fontId="3" fillId="7" borderId="8" xfId="0" applyFont="1" applyFill="1" applyBorder="1" applyAlignment="1">
      <alignment vertical="center"/>
    </xf>
    <xf numFmtId="0" fontId="13" fillId="7" borderId="0" xfId="0" applyFont="1" applyFill="1" applyBorder="1" applyAlignment="1">
      <alignment vertical="center"/>
    </xf>
    <xf numFmtId="0" fontId="7" fillId="7" borderId="0" xfId="0" applyFont="1" applyFill="1" applyBorder="1" applyAlignment="1">
      <alignment horizontal="left" vertical="top"/>
    </xf>
    <xf numFmtId="0" fontId="3" fillId="7" borderId="6" xfId="0" applyFont="1" applyFill="1" applyBorder="1" applyAlignment="1">
      <alignment horizontal="center" vertical="center" shrinkToFit="1"/>
    </xf>
    <xf numFmtId="0" fontId="12" fillId="7" borderId="9" xfId="0" applyFont="1" applyFill="1" applyBorder="1" applyAlignment="1">
      <alignment horizontal="left" vertical="center"/>
    </xf>
    <xf numFmtId="0" fontId="3" fillId="7" borderId="6" xfId="0" applyFont="1" applyFill="1" applyBorder="1" applyAlignment="1">
      <alignment vertical="center"/>
    </xf>
    <xf numFmtId="0" fontId="7" fillId="7" borderId="0" xfId="0" applyFont="1" applyFill="1" applyBorder="1" applyAlignment="1">
      <alignment horizontal="center" vertical="center"/>
    </xf>
    <xf numFmtId="0" fontId="3" fillId="7" borderId="0" xfId="0" applyFont="1" applyFill="1" applyBorder="1" applyAlignment="1">
      <alignment vertical="top"/>
    </xf>
    <xf numFmtId="0" fontId="3" fillId="7" borderId="0" xfId="0" applyFont="1" applyFill="1" applyBorder="1" applyAlignment="1">
      <alignment horizontal="right" vertical="center"/>
    </xf>
    <xf numFmtId="0" fontId="3" fillId="7" borderId="9" xfId="0" applyFont="1" applyFill="1" applyBorder="1" applyAlignment="1">
      <alignment vertical="center"/>
    </xf>
    <xf numFmtId="0" fontId="7" fillId="7" borderId="9" xfId="0" applyFont="1" applyFill="1" applyBorder="1" applyAlignment="1">
      <alignment vertical="top"/>
    </xf>
    <xf numFmtId="0" fontId="3" fillId="7" borderId="7" xfId="0" applyFont="1" applyFill="1" applyBorder="1" applyAlignment="1">
      <alignment vertical="center"/>
    </xf>
    <xf numFmtId="0" fontId="0" fillId="7" borderId="0" xfId="0" applyFont="1" applyFill="1" applyBorder="1" applyAlignment="1">
      <alignment horizontal="right" vertical="center"/>
    </xf>
    <xf numFmtId="0" fontId="7" fillId="7" borderId="0" xfId="0" applyFont="1" applyFill="1" applyBorder="1" applyAlignment="1">
      <alignment vertical="top"/>
    </xf>
    <xf numFmtId="0" fontId="3" fillId="0" borderId="0" xfId="0" applyFont="1" applyAlignment="1">
      <alignment vertical="center" wrapText="1"/>
    </xf>
    <xf numFmtId="0" fontId="3" fillId="0" borderId="0" xfId="0" applyFont="1" applyFill="1" applyBorder="1" applyAlignment="1">
      <alignment vertical="center"/>
    </xf>
    <xf numFmtId="206" fontId="3" fillId="0" borderId="0" xfId="0" applyNumberFormat="1" applyFont="1" applyBorder="1" applyAlignment="1">
      <alignment vertical="center"/>
    </xf>
    <xf numFmtId="0" fontId="3" fillId="0" borderId="0" xfId="0" applyFont="1" applyBorder="1" applyAlignment="1">
      <alignment vertical="center"/>
    </xf>
    <xf numFmtId="0" fontId="3" fillId="2" borderId="30" xfId="0" applyFont="1" applyFill="1" applyBorder="1" applyAlignment="1">
      <alignment horizontal="center" vertical="center" shrinkToFit="1"/>
    </xf>
    <xf numFmtId="0" fontId="3" fillId="7" borderId="11" xfId="0" applyFont="1" applyFill="1" applyBorder="1" applyAlignment="1">
      <alignment horizontal="left" vertical="top" shrinkToFit="1"/>
    </xf>
    <xf numFmtId="0" fontId="3" fillId="7" borderId="0" xfId="0" applyFont="1" applyFill="1" applyBorder="1" applyAlignment="1">
      <alignment horizontal="left" vertical="top" shrinkToFit="1"/>
    </xf>
    <xf numFmtId="0" fontId="3" fillId="5" borderId="28" xfId="0" applyFont="1" applyFill="1" applyBorder="1" applyAlignment="1">
      <alignment vertical="center"/>
    </xf>
    <xf numFmtId="194" fontId="11" fillId="5" borderId="4" xfId="0" applyNumberFormat="1" applyFont="1" applyFill="1" applyBorder="1" applyAlignment="1">
      <alignment horizontal="center" vertical="center"/>
    </xf>
    <xf numFmtId="0" fontId="11" fillId="5" borderId="4" xfId="0" applyFont="1" applyFill="1" applyBorder="1" applyAlignment="1">
      <alignment horizontal="center" vertical="center"/>
    </xf>
    <xf numFmtId="9" fontId="8" fillId="0" borderId="0" xfId="42" applyNumberFormat="1" applyFont="1" applyFill="1" applyBorder="1" applyAlignment="1" applyProtection="1">
      <alignment horizontal="center" vertical="center" shrinkToFit="1"/>
    </xf>
    <xf numFmtId="0" fontId="23" fillId="0" borderId="0" xfId="0" applyFont="1" applyAlignment="1">
      <alignment vertical="center"/>
    </xf>
    <xf numFmtId="179" fontId="0" fillId="0" borderId="4" xfId="0" applyNumberFormat="1" applyBorder="1" applyAlignment="1">
      <alignment horizontal="right" vertical="center"/>
    </xf>
    <xf numFmtId="179" fontId="0" fillId="0" borderId="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4" xfId="0" applyNumberFormat="1" applyBorder="1" applyAlignment="1">
      <alignment horizontal="center" vertical="center"/>
    </xf>
    <xf numFmtId="179" fontId="7" fillId="0" borderId="4" xfId="0" applyNumberFormat="1" applyFont="1" applyBorder="1" applyAlignment="1">
      <alignment horizontal="center" vertical="center"/>
    </xf>
    <xf numFmtId="0" fontId="6" fillId="0" borderId="31" xfId="0" applyFont="1" applyFill="1" applyBorder="1" applyAlignment="1" applyProtection="1">
      <alignment horizontal="center" vertical="center"/>
      <protection locked="0"/>
    </xf>
    <xf numFmtId="0" fontId="8" fillId="5" borderId="0" xfId="0" applyFont="1" applyFill="1" applyBorder="1" applyAlignment="1">
      <alignment horizontal="left" vertical="top" wrapText="1"/>
    </xf>
    <xf numFmtId="0" fontId="0" fillId="7" borderId="0" xfId="0" applyFont="1" applyFill="1" applyBorder="1" applyAlignment="1">
      <alignment horizontal="right" vertical="center" shrinkToFit="1"/>
    </xf>
    <xf numFmtId="0" fontId="3" fillId="7" borderId="6" xfId="0" applyFont="1" applyFill="1" applyBorder="1" applyAlignment="1">
      <alignment horizontal="right" vertical="center"/>
    </xf>
    <xf numFmtId="0" fontId="3" fillId="7" borderId="0" xfId="0" applyFont="1" applyFill="1" applyBorder="1" applyAlignment="1">
      <alignment horizontal="right" vertical="top"/>
    </xf>
    <xf numFmtId="0" fontId="3" fillId="7" borderId="10" xfId="0" applyFont="1" applyFill="1" applyBorder="1" applyAlignment="1">
      <alignment vertical="top"/>
    </xf>
    <xf numFmtId="49" fontId="6" fillId="0" borderId="13" xfId="0" applyNumberFormat="1" applyFont="1" applyBorder="1" applyAlignment="1" applyProtection="1">
      <alignment horizontal="center" vertical="center" shrinkToFit="1"/>
      <protection locked="0"/>
    </xf>
    <xf numFmtId="0" fontId="0" fillId="2" borderId="4" xfId="0" applyNumberFormat="1" applyFont="1" applyFill="1" applyBorder="1" applyAlignment="1">
      <alignment horizontal="center" vertical="center"/>
    </xf>
    <xf numFmtId="180" fontId="0" fillId="2" borderId="4" xfId="0" applyNumberFormat="1" applyFont="1" applyFill="1" applyBorder="1" applyAlignment="1">
      <alignment horizontal="center" vertical="center" shrinkToFit="1"/>
    </xf>
    <xf numFmtId="206" fontId="0" fillId="0" borderId="0" xfId="0" applyNumberFormat="1" applyFont="1" applyAlignment="1">
      <alignment horizontal="center" vertical="center"/>
    </xf>
    <xf numFmtId="0" fontId="22" fillId="0" borderId="0" xfId="43" applyFont="1" applyAlignment="1">
      <alignment horizontal="center" vertical="center"/>
    </xf>
    <xf numFmtId="0" fontId="3" fillId="5" borderId="6" xfId="0" applyFont="1" applyFill="1" applyBorder="1" applyAlignment="1">
      <alignment horizontal="center" vertical="center"/>
    </xf>
    <xf numFmtId="0" fontId="8" fillId="5" borderId="6" xfId="0" applyFont="1" applyFill="1" applyBorder="1" applyAlignment="1">
      <alignment horizontal="left" vertical="center" wrapText="1"/>
    </xf>
    <xf numFmtId="0" fontId="8" fillId="5" borderId="0" xfId="0" applyFont="1" applyFill="1" applyBorder="1" applyAlignment="1">
      <alignment horizontal="left" vertical="center" wrapText="1"/>
    </xf>
    <xf numFmtId="0" fontId="3" fillId="5" borderId="0" xfId="0" applyFont="1" applyFill="1" applyAlignment="1">
      <alignment vertical="center"/>
    </xf>
    <xf numFmtId="0" fontId="8" fillId="5" borderId="0" xfId="0" applyFont="1" applyFill="1" applyBorder="1" applyAlignment="1">
      <alignment horizontal="center"/>
    </xf>
    <xf numFmtId="0" fontId="8" fillId="5" borderId="9" xfId="0" applyFont="1" applyFill="1" applyBorder="1" applyAlignment="1">
      <alignment horizontal="center"/>
    </xf>
    <xf numFmtId="0" fontId="3" fillId="7" borderId="0" xfId="0" applyFont="1" applyFill="1" applyAlignment="1">
      <alignment vertical="center"/>
    </xf>
    <xf numFmtId="0" fontId="0" fillId="5" borderId="32" xfId="0" applyFont="1" applyFill="1" applyBorder="1" applyAlignment="1">
      <alignment vertical="center"/>
    </xf>
    <xf numFmtId="0" fontId="0" fillId="0" borderId="0" xfId="0" applyNumberFormat="1" applyFont="1" applyFill="1" applyBorder="1" applyAlignment="1">
      <alignment horizontal="left" vertical="center" shrinkToFit="1"/>
    </xf>
    <xf numFmtId="0" fontId="16" fillId="6" borderId="33" xfId="0" applyFont="1" applyFill="1" applyBorder="1" applyAlignment="1" applyProtection="1">
      <alignment horizontal="center" vertical="center"/>
      <protection locked="0"/>
    </xf>
    <xf numFmtId="0" fontId="11" fillId="6" borderId="34" xfId="0" applyFont="1" applyFill="1" applyBorder="1" applyAlignment="1">
      <alignment horizontal="center" vertical="center"/>
    </xf>
    <xf numFmtId="0" fontId="3" fillId="7" borderId="0" xfId="0" applyFont="1" applyFill="1" applyBorder="1" applyAlignment="1">
      <alignment horizontal="left" vertical="center"/>
    </xf>
    <xf numFmtId="0" fontId="0" fillId="0" borderId="28" xfId="0" applyFill="1" applyBorder="1" applyAlignment="1">
      <alignment horizontal="left" vertical="center"/>
    </xf>
    <xf numFmtId="179" fontId="7" fillId="13" borderId="35" xfId="0" applyNumberFormat="1" applyFont="1" applyFill="1" applyBorder="1" applyAlignment="1">
      <alignment horizontal="center" vertical="center"/>
    </xf>
    <xf numFmtId="0" fontId="0" fillId="13" borderId="4" xfId="0" applyFill="1" applyBorder="1" applyAlignment="1">
      <alignment horizontal="center" vertical="center"/>
    </xf>
    <xf numFmtId="179" fontId="0" fillId="13" borderId="4" xfId="0" applyNumberFormat="1" applyFill="1" applyBorder="1" applyAlignment="1">
      <alignment horizontal="right" vertical="center"/>
    </xf>
    <xf numFmtId="179" fontId="0" fillId="13" borderId="36" xfId="0" applyNumberFormat="1" applyFill="1" applyBorder="1" applyAlignment="1">
      <alignment horizontal="right" vertical="center" wrapText="1"/>
    </xf>
    <xf numFmtId="179" fontId="0" fillId="13" borderId="37" xfId="0" applyNumberFormat="1" applyFill="1" applyBorder="1" applyAlignment="1">
      <alignment horizontal="right" vertical="center" wrapText="1"/>
    </xf>
    <xf numFmtId="179" fontId="0" fillId="13" borderId="36" xfId="0" applyNumberFormat="1" applyFill="1" applyBorder="1" applyAlignment="1">
      <alignment horizontal="right" vertical="center"/>
    </xf>
    <xf numFmtId="179" fontId="0" fillId="13" borderId="37" xfId="0" applyNumberFormat="1" applyFill="1" applyBorder="1" applyAlignment="1">
      <alignment horizontal="right" vertical="center"/>
    </xf>
    <xf numFmtId="179" fontId="0" fillId="13" borderId="38" xfId="0" applyNumberFormat="1" applyFill="1" applyBorder="1" applyAlignment="1">
      <alignment horizontal="right" vertical="center" wrapText="1"/>
    </xf>
    <xf numFmtId="179" fontId="0" fillId="13" borderId="39" xfId="0" applyNumberFormat="1" applyFill="1" applyBorder="1" applyAlignment="1">
      <alignment horizontal="right" vertical="center" wrapText="1"/>
    </xf>
    <xf numFmtId="0" fontId="7" fillId="10" borderId="37" xfId="0" applyFont="1" applyFill="1" applyBorder="1" applyAlignment="1">
      <alignment horizontal="center" vertical="center"/>
    </xf>
    <xf numFmtId="0" fontId="0" fillId="8" borderId="4" xfId="0" applyFont="1" applyFill="1" applyBorder="1" applyAlignment="1">
      <alignment horizontal="center" vertical="center"/>
    </xf>
    <xf numFmtId="0" fontId="0" fillId="10" borderId="4" xfId="0" applyFont="1" applyFill="1" applyBorder="1" applyAlignment="1">
      <alignment horizontal="center" vertical="center"/>
    </xf>
    <xf numFmtId="0" fontId="0" fillId="10" borderId="36" xfId="0" applyFont="1" applyFill="1" applyBorder="1" applyAlignment="1">
      <alignment horizontal="center" vertical="center"/>
    </xf>
    <xf numFmtId="179" fontId="0" fillId="10" borderId="4" xfId="0" applyNumberFormat="1" applyFont="1" applyFill="1" applyBorder="1" applyAlignment="1">
      <alignment horizontal="right" vertical="center"/>
    </xf>
    <xf numFmtId="179" fontId="0" fillId="10" borderId="36" xfId="0" applyNumberFormat="1" applyFont="1" applyFill="1" applyBorder="1" applyAlignment="1">
      <alignment horizontal="right" vertical="center" wrapText="1"/>
    </xf>
    <xf numFmtId="179" fontId="0" fillId="10" borderId="37" xfId="0" applyNumberFormat="1" applyFont="1" applyFill="1" applyBorder="1" applyAlignment="1">
      <alignment horizontal="right" vertical="center" wrapText="1"/>
    </xf>
    <xf numFmtId="179" fontId="0" fillId="10" borderId="38" xfId="0" applyNumberFormat="1" applyFont="1" applyFill="1" applyBorder="1" applyAlignment="1">
      <alignment horizontal="right" vertical="center" wrapText="1"/>
    </xf>
    <xf numFmtId="179" fontId="0" fillId="10" borderId="39" xfId="0" applyNumberFormat="1" applyFont="1" applyFill="1" applyBorder="1" applyAlignment="1">
      <alignment horizontal="right" vertical="center" wrapText="1"/>
    </xf>
    <xf numFmtId="179" fontId="0" fillId="10" borderId="36" xfId="0" applyNumberFormat="1" applyFont="1" applyFill="1" applyBorder="1" applyAlignment="1">
      <alignment horizontal="right" vertical="center"/>
    </xf>
    <xf numFmtId="179" fontId="0" fillId="10" borderId="37" xfId="0" applyNumberFormat="1" applyFont="1" applyFill="1" applyBorder="1" applyAlignment="1">
      <alignment horizontal="right" vertical="center"/>
    </xf>
    <xf numFmtId="0" fontId="0" fillId="10" borderId="40" xfId="0" applyFont="1" applyFill="1" applyBorder="1" applyAlignment="1">
      <alignment horizontal="center" vertical="center"/>
    </xf>
    <xf numFmtId="179" fontId="0" fillId="10" borderId="40" xfId="0" applyNumberFormat="1" applyFont="1" applyFill="1" applyBorder="1" applyAlignment="1">
      <alignment horizontal="right" vertical="center"/>
    </xf>
    <xf numFmtId="179" fontId="0" fillId="10" borderId="41" xfId="0" applyNumberFormat="1" applyFont="1" applyFill="1" applyBorder="1" applyAlignment="1">
      <alignment horizontal="right" vertical="center" wrapText="1"/>
    </xf>
    <xf numFmtId="179" fontId="0" fillId="10" borderId="42" xfId="0" applyNumberFormat="1" applyFont="1" applyFill="1" applyBorder="1" applyAlignment="1">
      <alignment horizontal="right" vertical="center" wrapText="1"/>
    </xf>
    <xf numFmtId="179" fontId="0" fillId="10" borderId="43" xfId="0" applyNumberFormat="1" applyFont="1" applyFill="1" applyBorder="1" applyAlignment="1">
      <alignment horizontal="right" vertical="center" wrapText="1"/>
    </xf>
    <xf numFmtId="179" fontId="0" fillId="10" borderId="44" xfId="0" applyNumberFormat="1" applyFont="1" applyFill="1" applyBorder="1" applyAlignment="1">
      <alignment horizontal="right" vertical="center" wrapText="1"/>
    </xf>
    <xf numFmtId="179" fontId="0" fillId="10" borderId="41" xfId="0" applyNumberFormat="1" applyFont="1" applyFill="1" applyBorder="1" applyAlignment="1">
      <alignment horizontal="right" vertical="center"/>
    </xf>
    <xf numFmtId="179" fontId="0" fillId="10" borderId="42" xfId="0" applyNumberFormat="1" applyFont="1" applyFill="1" applyBorder="1" applyAlignment="1">
      <alignment horizontal="right" vertical="center"/>
    </xf>
    <xf numFmtId="0" fontId="0" fillId="13" borderId="45" xfId="0" applyFont="1" applyFill="1" applyBorder="1" applyAlignment="1">
      <alignment horizontal="center" vertical="center"/>
    </xf>
    <xf numFmtId="179" fontId="0" fillId="13" borderId="45" xfId="0" applyNumberFormat="1" applyFont="1" applyFill="1" applyBorder="1" applyAlignment="1">
      <alignment horizontal="center" vertical="center"/>
    </xf>
    <xf numFmtId="179" fontId="0" fillId="13" borderId="46" xfId="0" applyNumberFormat="1" applyFont="1" applyFill="1" applyBorder="1" applyAlignment="1">
      <alignment horizontal="center" vertical="center"/>
    </xf>
    <xf numFmtId="0" fontId="0" fillId="13" borderId="4" xfId="0" applyFont="1" applyFill="1" applyBorder="1" applyAlignment="1">
      <alignment horizontal="center" vertical="center"/>
    </xf>
    <xf numFmtId="179" fontId="0" fillId="13" borderId="4" xfId="0" applyNumberFormat="1" applyFont="1" applyFill="1" applyBorder="1" applyAlignment="1">
      <alignment horizontal="right" vertical="center"/>
    </xf>
    <xf numFmtId="179" fontId="0" fillId="13" borderId="36" xfId="0" applyNumberFormat="1" applyFont="1" applyFill="1" applyBorder="1" applyAlignment="1">
      <alignment horizontal="right" vertical="center" wrapText="1"/>
    </xf>
    <xf numFmtId="179" fontId="0" fillId="13" borderId="37" xfId="0" applyNumberFormat="1" applyFont="1" applyFill="1" applyBorder="1" applyAlignment="1">
      <alignment horizontal="right" vertical="center" wrapText="1"/>
    </xf>
    <xf numFmtId="179" fontId="0" fillId="13" borderId="36" xfId="0" applyNumberFormat="1" applyFont="1" applyFill="1" applyBorder="1" applyAlignment="1">
      <alignment horizontal="right" vertical="center"/>
    </xf>
    <xf numFmtId="179" fontId="0" fillId="13" borderId="37" xfId="0" applyNumberFormat="1" applyFont="1" applyFill="1" applyBorder="1" applyAlignment="1">
      <alignment horizontal="right" vertical="center"/>
    </xf>
    <xf numFmtId="179" fontId="0" fillId="13" borderId="38" xfId="0" applyNumberFormat="1" applyFont="1" applyFill="1" applyBorder="1" applyAlignment="1">
      <alignment horizontal="right" vertical="center" wrapText="1"/>
    </xf>
    <xf numFmtId="179" fontId="0" fillId="13" borderId="39" xfId="0" applyNumberFormat="1" applyFont="1" applyFill="1" applyBorder="1" applyAlignment="1">
      <alignment horizontal="right" vertical="center" wrapText="1"/>
    </xf>
    <xf numFmtId="0" fontId="20" fillId="6" borderId="55" xfId="0" applyFont="1" applyFill="1" applyBorder="1" applyAlignment="1">
      <alignment horizontal="center" vertical="center" shrinkToFit="1"/>
    </xf>
    <xf numFmtId="0" fontId="20" fillId="6" borderId="56" xfId="0" applyFont="1" applyFill="1" applyBorder="1" applyAlignment="1">
      <alignment horizontal="center" vertical="center" shrinkToFit="1"/>
    </xf>
    <xf numFmtId="0" fontId="20" fillId="6" borderId="57" xfId="0" applyFont="1" applyFill="1" applyBorder="1" applyAlignment="1">
      <alignment horizontal="center" vertical="center" shrinkToFit="1"/>
    </xf>
    <xf numFmtId="0" fontId="12" fillId="7" borderId="27" xfId="0" quotePrefix="1" applyFont="1" applyFill="1" applyBorder="1" applyAlignment="1">
      <alignment horizontal="center" vertical="center"/>
    </xf>
    <xf numFmtId="0" fontId="12" fillId="7" borderId="10" xfId="0" quotePrefix="1" applyFont="1" applyFill="1" applyBorder="1" applyAlignment="1">
      <alignment horizontal="center" vertical="center"/>
    </xf>
    <xf numFmtId="0" fontId="12" fillId="7" borderId="11" xfId="0" quotePrefix="1" applyFont="1" applyFill="1" applyBorder="1" applyAlignment="1">
      <alignment horizontal="center" vertical="center"/>
    </xf>
    <xf numFmtId="0" fontId="12" fillId="7" borderId="0" xfId="0" quotePrefix="1" applyFont="1" applyFill="1" applyBorder="1" applyAlignment="1">
      <alignment horizontal="center" vertical="center"/>
    </xf>
    <xf numFmtId="0" fontId="8" fillId="0" borderId="30" xfId="0" applyFont="1" applyFill="1" applyBorder="1" applyAlignment="1" applyProtection="1">
      <alignment horizontal="center" vertical="center"/>
      <protection locked="0"/>
    </xf>
    <xf numFmtId="0" fontId="8" fillId="0" borderId="50" xfId="0" applyFont="1" applyFill="1" applyBorder="1" applyAlignment="1" applyProtection="1">
      <alignment horizontal="center" vertical="center"/>
      <protection locked="0"/>
    </xf>
    <xf numFmtId="0" fontId="8" fillId="0" borderId="51" xfId="0" applyFont="1" applyFill="1" applyBorder="1" applyAlignment="1" applyProtection="1">
      <alignment horizontal="center" vertical="center"/>
      <protection locked="0"/>
    </xf>
    <xf numFmtId="0" fontId="3" fillId="7" borderId="9" xfId="0" applyFont="1" applyFill="1" applyBorder="1" applyAlignment="1">
      <alignment horizontal="center" vertical="center"/>
    </xf>
    <xf numFmtId="0" fontId="3" fillId="7" borderId="0" xfId="0" applyFont="1" applyFill="1" applyBorder="1" applyAlignment="1">
      <alignment horizontal="left" vertical="top" shrinkToFit="1"/>
    </xf>
    <xf numFmtId="0" fontId="3" fillId="6" borderId="34" xfId="0" applyFont="1" applyFill="1" applyBorder="1" applyAlignment="1">
      <alignment horizontal="center" vertical="center"/>
    </xf>
    <xf numFmtId="0" fontId="0" fillId="7" borderId="0" xfId="0" applyNumberFormat="1" applyFont="1" applyFill="1" applyBorder="1" applyAlignment="1">
      <alignment horizontal="left" vertical="center" shrinkToFit="1"/>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30"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0" fillId="7" borderId="11" xfId="0" applyFont="1" applyFill="1" applyBorder="1" applyAlignment="1">
      <alignment horizontal="center" vertical="center" shrinkToFit="1"/>
    </xf>
    <xf numFmtId="0" fontId="0" fillId="7" borderId="6"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7" fillId="7" borderId="11" xfId="0" applyFont="1" applyFill="1" applyBorder="1" applyAlignment="1">
      <alignment horizontal="center" vertical="center"/>
    </xf>
    <xf numFmtId="0" fontId="3" fillId="7" borderId="6" xfId="0" applyFont="1" applyFill="1" applyBorder="1" applyAlignment="1">
      <alignment horizontal="center" vertical="center"/>
    </xf>
    <xf numFmtId="204" fontId="6" fillId="2" borderId="4" xfId="0" applyNumberFormat="1" applyFont="1" applyFill="1" applyBorder="1" applyAlignment="1">
      <alignment horizontal="center" vertical="center"/>
    </xf>
    <xf numFmtId="0" fontId="8" fillId="3" borderId="47" xfId="0" applyFont="1" applyFill="1" applyBorder="1" applyAlignment="1">
      <alignment vertical="center" wrapText="1"/>
    </xf>
    <xf numFmtId="0" fontId="8" fillId="3" borderId="48" xfId="0" applyFont="1" applyFill="1" applyBorder="1" applyAlignment="1">
      <alignment vertical="center" wrapText="1"/>
    </xf>
    <xf numFmtId="0" fontId="8" fillId="3" borderId="49" xfId="0" applyFont="1" applyFill="1" applyBorder="1" applyAlignment="1">
      <alignment vertical="center" wrapText="1"/>
    </xf>
    <xf numFmtId="0" fontId="3" fillId="5" borderId="9" xfId="0" applyFont="1" applyFill="1" applyBorder="1" applyAlignment="1">
      <alignment horizontal="center" shrinkToFit="1"/>
    </xf>
    <xf numFmtId="0" fontId="3" fillId="5" borderId="7" xfId="0" applyFont="1" applyFill="1" applyBorder="1" applyAlignment="1">
      <alignment horizontal="center" shrinkToFit="1"/>
    </xf>
    <xf numFmtId="0" fontId="8" fillId="3" borderId="30" xfId="0" applyFont="1" applyFill="1" applyBorder="1" applyAlignment="1">
      <alignment horizontal="center" vertical="center" shrinkToFit="1"/>
    </xf>
    <xf numFmtId="0" fontId="8" fillId="3" borderId="50" xfId="0" applyFont="1" applyFill="1" applyBorder="1" applyAlignment="1">
      <alignment horizontal="center" vertical="center" shrinkToFit="1"/>
    </xf>
    <xf numFmtId="0" fontId="8" fillId="3" borderId="51" xfId="0" applyFont="1" applyFill="1" applyBorder="1" applyAlignment="1">
      <alignment horizontal="center" vertical="center" shrinkToFit="1"/>
    </xf>
    <xf numFmtId="0" fontId="8" fillId="6" borderId="4" xfId="0" applyFont="1" applyFill="1" applyBorder="1" applyAlignment="1">
      <alignment horizontal="left" vertical="center" wrapText="1"/>
    </xf>
    <xf numFmtId="0" fontId="12" fillId="5" borderId="27" xfId="0" quotePrefix="1" applyFont="1" applyFill="1" applyBorder="1" applyAlignment="1">
      <alignment vertical="center"/>
    </xf>
    <xf numFmtId="0" fontId="12" fillId="5" borderId="10" xfId="0" quotePrefix="1" applyFont="1" applyFill="1" applyBorder="1" applyAlignment="1">
      <alignment vertical="center"/>
    </xf>
    <xf numFmtId="0" fontId="12" fillId="5" borderId="11" xfId="0" quotePrefix="1" applyFont="1" applyFill="1" applyBorder="1" applyAlignment="1">
      <alignment vertical="center"/>
    </xf>
    <xf numFmtId="0" fontId="12" fillId="5" borderId="0" xfId="0" quotePrefix="1" applyFont="1" applyFill="1" applyBorder="1" applyAlignment="1">
      <alignment vertical="center"/>
    </xf>
    <xf numFmtId="0" fontId="6" fillId="0" borderId="52"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6" fillId="0" borderId="54" xfId="0" applyFont="1" applyFill="1" applyBorder="1" applyAlignment="1" applyProtection="1">
      <alignment horizontal="center" vertical="center"/>
      <protection locked="0"/>
    </xf>
    <xf numFmtId="0" fontId="24" fillId="5" borderId="8" xfId="0" applyFont="1" applyFill="1" applyBorder="1" applyAlignment="1">
      <alignment horizontal="center" vertical="center" shrinkToFit="1"/>
    </xf>
    <xf numFmtId="0" fontId="24" fillId="5" borderId="9" xfId="0" applyFont="1" applyFill="1" applyBorder="1" applyAlignment="1">
      <alignment horizontal="center" vertical="center" shrinkToFit="1"/>
    </xf>
    <xf numFmtId="0" fontId="0" fillId="4" borderId="4" xfId="0" applyFill="1" applyBorder="1" applyAlignment="1">
      <alignment horizontal="center" vertical="center"/>
    </xf>
    <xf numFmtId="0" fontId="0" fillId="2" borderId="60" xfId="0" applyFill="1" applyBorder="1" applyAlignment="1">
      <alignment vertical="center" textRotation="255"/>
    </xf>
    <xf numFmtId="0" fontId="0" fillId="2" borderId="4" xfId="0" applyFill="1" applyBorder="1" applyAlignment="1">
      <alignment vertical="center" textRotation="255"/>
    </xf>
    <xf numFmtId="0" fontId="0" fillId="3" borderId="4" xfId="0" applyFill="1" applyBorder="1" applyAlignment="1">
      <alignment vertical="center" textRotation="255"/>
    </xf>
    <xf numFmtId="0" fontId="0" fillId="5" borderId="4" xfId="0" applyFill="1" applyBorder="1" applyAlignment="1">
      <alignment horizontal="center" vertical="center"/>
    </xf>
    <xf numFmtId="0" fontId="15" fillId="0" borderId="0" xfId="28" applyBorder="1" applyAlignment="1" applyProtection="1">
      <alignment horizontal="left" vertical="top"/>
    </xf>
    <xf numFmtId="0" fontId="0" fillId="8" borderId="4" xfId="0" applyFont="1" applyFill="1" applyBorder="1" applyAlignment="1">
      <alignment horizontal="center" vertical="center"/>
    </xf>
    <xf numFmtId="0" fontId="0" fillId="0" borderId="4" xfId="0" applyBorder="1" applyAlignment="1">
      <alignment horizontal="center"/>
    </xf>
    <xf numFmtId="0" fontId="3" fillId="0" borderId="0" xfId="0" applyFont="1" applyBorder="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_個表" xfId="42"/>
    <cellStyle name="標準_個表"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12" Type="http://schemas.openxmlformats.org/officeDocument/2006/relationships/customXml" Target="../customXml/item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11" Type="http://schemas.openxmlformats.org/officeDocument/2006/relationships/customXml" Target="../customXml/item2.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Ｐゴシック"/>
                <a:ea typeface="ＭＳ Ｐゴシック"/>
              </a:rPr>
              <a:t>Tスコア評価バランス</a:t>
            </a:r>
          </a:p>
        </c:rich>
      </c:tx>
      <c:layout>
        <c:manualLayout>
          <c:xMode val="edge"/>
          <c:yMode val="edge"/>
          <c:x val="4.6948356807511735E-2"/>
          <c:y val="4.4117647058823532E-2"/>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25117428471217701"/>
          <c:y val="0.13602941176470587"/>
          <c:w val="0.50234856942435402"/>
          <c:h val="0.78676470588235292"/>
        </c:manualLayout>
      </c:layout>
      <c:radarChart>
        <c:radarStyle val="marker"/>
        <c:varyColors val="0"/>
        <c:ser>
          <c:idx val="0"/>
          <c:order val="0"/>
          <c:spPr>
            <a:ln w="25400">
              <a:solidFill>
                <a:srgbClr val="000080"/>
              </a:solidFill>
              <a:prstDash val="solid"/>
            </a:ln>
          </c:spPr>
          <c:marker>
            <c:symbol val="diamond"/>
            <c:size val="7"/>
            <c:spPr>
              <a:solidFill>
                <a:srgbClr val="000080"/>
              </a:solidFill>
              <a:ln>
                <a:solidFill>
                  <a:srgbClr val="000080"/>
                </a:solidFill>
                <a:prstDash val="solid"/>
              </a:ln>
            </c:spPr>
          </c:marker>
          <c:cat>
            <c:strRef>
              <c:f>記録!$B$19:$C$26</c:f>
              <c:strCache>
                <c:ptCount val="8"/>
                <c:pt idx="0">
                  <c:v>握力(平均)</c:v>
                </c:pt>
                <c:pt idx="1">
                  <c:v>上体起こし</c:v>
                </c:pt>
                <c:pt idx="2">
                  <c:v>長座体前屈</c:v>
                </c:pt>
                <c:pt idx="3">
                  <c:v>反復横とび</c:v>
                </c:pt>
                <c:pt idx="5">
                  <c:v>５０ｍ走</c:v>
                </c:pt>
                <c:pt idx="6">
                  <c:v>立ち幅とび</c:v>
                </c:pt>
                <c:pt idx="7">
                  <c:v>ﾊﾝﾄﾞﾎﾞｰﾙ投</c:v>
                </c:pt>
              </c:strCache>
            </c:strRef>
          </c:cat>
          <c:val>
            <c:numRef>
              <c:f>記録!$J$19:$J$26</c:f>
              <c:numCache>
                <c:formatCode>0.0</c:formatCode>
                <c:ptCount val="8"/>
                <c:pt idx="0">
                  <c:v>#N/A</c:v>
                </c:pt>
                <c:pt idx="1">
                  <c:v>#N/A</c:v>
                </c:pt>
                <c:pt idx="2">
                  <c:v>#N/A</c:v>
                </c:pt>
                <c:pt idx="3">
                  <c:v>#N/A</c:v>
                </c:pt>
                <c:pt idx="4">
                  <c:v>#N/A</c:v>
                </c:pt>
                <c:pt idx="5">
                  <c:v>#N/A</c:v>
                </c:pt>
                <c:pt idx="6">
                  <c:v>#N/A</c:v>
                </c:pt>
                <c:pt idx="7">
                  <c:v>#N/A</c:v>
                </c:pt>
              </c:numCache>
            </c:numRef>
          </c:val>
          <c:extLst>
            <c:ext xmlns:c16="http://schemas.microsoft.com/office/drawing/2014/chart" uri="{C3380CC4-5D6E-409C-BE32-E72D297353CC}">
              <c16:uniqueId val="{00000000-1F08-4A1C-A1A4-563AEAEA2A92}"/>
            </c:ext>
          </c:extLst>
        </c:ser>
        <c:dLbls>
          <c:showLegendKey val="0"/>
          <c:showVal val="0"/>
          <c:showCatName val="0"/>
          <c:showSerName val="0"/>
          <c:showPercent val="0"/>
          <c:showBubbleSize val="0"/>
        </c:dLbls>
        <c:axId val="672817440"/>
        <c:axId val="1"/>
      </c:radarChart>
      <c:catAx>
        <c:axId val="6728174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70"/>
          <c:min val="30"/>
        </c:scaling>
        <c:delete val="0"/>
        <c:axPos val="l"/>
        <c:majorGridlines>
          <c:spPr>
            <a:ln w="3175">
              <a:solidFill>
                <a:srgbClr val="000000"/>
              </a:solidFill>
              <a:prstDash val="solid"/>
            </a:ln>
          </c:spPr>
        </c:majorGridlines>
        <c:numFmt formatCode="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72817440"/>
        <c:crosses val="autoZero"/>
        <c:crossBetween val="between"/>
        <c:majorUnit val="20"/>
        <c:minorUnit val="20"/>
      </c:valAx>
      <c:spPr>
        <a:noFill/>
        <a:ln w="25400">
          <a:noFill/>
        </a:ln>
      </c:spPr>
    </c:plotArea>
    <c:plotVisOnly val="1"/>
    <c:dispBlanksAs val="gap"/>
    <c:showDLblsOverMax val="0"/>
  </c:chart>
  <c:spPr>
    <a:solidFill>
      <a:srgbClr val="CCFFCC"/>
    </a:solidFill>
    <a:ln w="254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9638989169675"/>
          <c:y val="4.398826979472141E-2"/>
          <c:w val="0.85379061371841158"/>
          <c:h val="0.71260997067448684"/>
        </c:manualLayout>
      </c:layout>
      <c:lineChart>
        <c:grouping val="standard"/>
        <c:varyColors val="0"/>
        <c:ser>
          <c:idx val="0"/>
          <c:order val="0"/>
          <c:tx>
            <c:strRef>
              <c:f>記録!$U$41</c:f>
              <c:strCache>
                <c:ptCount val="1"/>
                <c:pt idx="0">
                  <c:v>自己記録</c:v>
                </c:pt>
              </c:strCache>
            </c:strRef>
          </c:tx>
          <c:spPr>
            <a:ln w="25400">
              <a:solidFill>
                <a:srgbClr val="333399"/>
              </a:solidFill>
              <a:prstDash val="solid"/>
            </a:ln>
          </c:spPr>
          <c:marker>
            <c:symbol val="none"/>
          </c:marker>
          <c:dLbls>
            <c:spPr>
              <a:solidFill>
                <a:srgbClr val="FFFFFF"/>
              </a:solidFill>
              <a:ln w="25400">
                <a:noFill/>
              </a:ln>
            </c:spPr>
            <c:txPr>
              <a:bodyPr wrap="square" lIns="38100" tIns="19050" rIns="38100" bIns="19050" anchor="ctr">
                <a:spAutoFit/>
              </a:bodyPr>
              <a:lstStyle/>
              <a:p>
                <a:pPr>
                  <a:defRPr sz="1025" b="0" i="0" u="none" strike="noStrike" baseline="0">
                    <a:solidFill>
                      <a:srgbClr val="0000FF"/>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記録!$S$42:$T$47</c:f>
              <c:multiLvlStrCache>
                <c:ptCount val="6"/>
                <c:lvl>
                  <c:pt idx="0">
                    <c:v>-</c:v>
                  </c:pt>
                  <c:pt idx="1">
                    <c:v>-</c:v>
                  </c:pt>
                  <c:pt idx="2">
                    <c:v>-</c:v>
                  </c:pt>
                  <c:pt idx="3">
                    <c:v>-</c:v>
                  </c:pt>
                  <c:pt idx="4">
                    <c:v>-</c:v>
                  </c:pt>
                  <c:pt idx="5">
                    <c:v>-</c:v>
                  </c:pt>
                </c:lvl>
                <c:lvl>
                  <c:pt idx="0">
                    <c:v>(伸び率)</c:v>
                  </c:pt>
                  <c:pt idx="1">
                    <c:v>　</c:v>
                  </c:pt>
                  <c:pt idx="2">
                    <c:v>　</c:v>
                  </c:pt>
                  <c:pt idx="3">
                    <c:v>　</c:v>
                  </c:pt>
                  <c:pt idx="4">
                    <c:v>　</c:v>
                  </c:pt>
                  <c:pt idx="5">
                    <c:v>　</c:v>
                  </c:pt>
                </c:lvl>
              </c:multiLvlStrCache>
            </c:multiLvlStrRef>
          </c:cat>
          <c:val>
            <c:numRef>
              <c:f>記録!$U$42:$U$47</c:f>
              <c:numCache>
                <c:formatCode>General</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0-AE34-4AD0-8982-646F4DC08B79}"/>
            </c:ext>
          </c:extLst>
        </c:ser>
        <c:ser>
          <c:idx val="1"/>
          <c:order val="1"/>
          <c:tx>
            <c:strRef>
              <c:f>記録!$V$41</c:f>
              <c:strCache>
                <c:ptCount val="1"/>
                <c:pt idx="0">
                  <c:v>推計基準値</c:v>
                </c:pt>
              </c:strCache>
            </c:strRef>
          </c:tx>
          <c:spPr>
            <a:ln w="25400">
              <a:solidFill>
                <a:srgbClr val="FF0000"/>
              </a:solidFill>
              <a:prstDash val="lgDash"/>
            </a:ln>
          </c:spPr>
          <c:marker>
            <c:symbol val="none"/>
          </c:marker>
          <c:cat>
            <c:multiLvlStrRef>
              <c:f>記録!$S$42:$T$47</c:f>
              <c:multiLvlStrCache>
                <c:ptCount val="6"/>
                <c:lvl>
                  <c:pt idx="0">
                    <c:v>-</c:v>
                  </c:pt>
                  <c:pt idx="1">
                    <c:v>-</c:v>
                  </c:pt>
                  <c:pt idx="2">
                    <c:v>-</c:v>
                  </c:pt>
                  <c:pt idx="3">
                    <c:v>-</c:v>
                  </c:pt>
                  <c:pt idx="4">
                    <c:v>-</c:v>
                  </c:pt>
                  <c:pt idx="5">
                    <c:v>-</c:v>
                  </c:pt>
                </c:lvl>
                <c:lvl>
                  <c:pt idx="0">
                    <c:v>(伸び率)</c:v>
                  </c:pt>
                  <c:pt idx="1">
                    <c:v>　</c:v>
                  </c:pt>
                  <c:pt idx="2">
                    <c:v>　</c:v>
                  </c:pt>
                  <c:pt idx="3">
                    <c:v>　</c:v>
                  </c:pt>
                  <c:pt idx="4">
                    <c:v>　</c:v>
                  </c:pt>
                  <c:pt idx="5">
                    <c:v>　</c:v>
                  </c:pt>
                </c:lvl>
              </c:multiLvlStrCache>
            </c:multiLvlStrRef>
          </c:cat>
          <c:val>
            <c:numRef>
              <c:f>記録!$V$42:$V$47</c:f>
              <c:numCache>
                <c:formatCode>0.0</c:formatCode>
                <c:ptCount val="6"/>
                <c:pt idx="0">
                  <c:v>#N/A</c:v>
                </c:pt>
                <c:pt idx="1">
                  <c:v>#N/A</c:v>
                </c:pt>
                <c:pt idx="2">
                  <c:v>#N/A</c:v>
                </c:pt>
                <c:pt idx="3">
                  <c:v>#N/A</c:v>
                </c:pt>
                <c:pt idx="4">
                  <c:v>#N/A</c:v>
                </c:pt>
                <c:pt idx="5">
                  <c:v>#N/A</c:v>
                </c:pt>
              </c:numCache>
            </c:numRef>
          </c:val>
          <c:smooth val="0"/>
          <c:extLst>
            <c:ext xmlns:c16="http://schemas.microsoft.com/office/drawing/2014/chart" uri="{C3380CC4-5D6E-409C-BE32-E72D297353CC}">
              <c16:uniqueId val="{00000001-AE34-4AD0-8982-646F4DC08B79}"/>
            </c:ext>
          </c:extLst>
        </c:ser>
        <c:dLbls>
          <c:showLegendKey val="0"/>
          <c:showVal val="0"/>
          <c:showCatName val="0"/>
          <c:showSerName val="0"/>
          <c:showPercent val="0"/>
          <c:showBubbleSize val="0"/>
        </c:dLbls>
        <c:smooth val="0"/>
        <c:axId val="672816608"/>
        <c:axId val="1"/>
      </c:lineChart>
      <c:catAx>
        <c:axId val="6728166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ＭＳ Ｐゴシック"/>
                <a:ea typeface="ＭＳ Ｐゴシック"/>
                <a:cs typeface="ＭＳ Ｐゴシック"/>
              </a:defRPr>
            </a:pPr>
            <a:endParaRPr lang="ja-JP"/>
          </a:p>
        </c:txPr>
        <c:crossAx val="672816608"/>
        <c:crosses val="autoZero"/>
        <c:crossBetween val="between"/>
      </c:valAx>
      <c:dTable>
        <c:showHorzBorder val="1"/>
        <c:showVertBorder val="1"/>
        <c:showOutline val="1"/>
        <c:showKeys val="0"/>
        <c:spPr>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Table>
      <c:spPr>
        <a:solidFill>
          <a:srgbClr val="CCFFCC"/>
        </a:solidFill>
        <a:ln w="12700">
          <a:solidFill>
            <a:srgbClr val="000000"/>
          </a:solidFill>
          <a:prstDash val="solid"/>
        </a:ln>
      </c:spPr>
    </c:plotArea>
    <c:plotVisOnly val="0"/>
    <c:dispBlanksAs val="gap"/>
    <c:showDLblsOverMax val="0"/>
  </c:chart>
  <c:spPr>
    <a:solidFill>
      <a:srgbClr val="CC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&#65279;<?xml version="1.0" encoding="utf-8" standalone="yes"?>
<Relationships xmlns="http://schemas.openxmlformats.org/package/2006/relationships">
  <Relationship Id="rId3" Type="http://schemas.openxmlformats.org/officeDocument/2006/relationships/image" Target="../media/image1.emf" />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7</xdr:col>
      <xdr:colOff>114300</xdr:colOff>
      <xdr:row>17</xdr:row>
      <xdr:rowOff>9525</xdr:rowOff>
    </xdr:from>
    <xdr:to>
      <xdr:col>15</xdr:col>
      <xdr:colOff>28575</xdr:colOff>
      <xdr:row>27</xdr:row>
      <xdr:rowOff>238125</xdr:rowOff>
    </xdr:to>
    <xdr:graphicFrame macro="">
      <xdr:nvGraphicFramePr>
        <xdr:cNvPr id="1183" name="グラフ 2">
          <a:extLst>
            <a:ext uri="{FF2B5EF4-FFF2-40B4-BE49-F238E27FC236}">
              <a16:creationId xmlns:a16="http://schemas.microsoft.com/office/drawing/2014/main" id="{391CF81A-83AB-4567-ADD9-1649225D79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257175</xdr:colOff>
      <xdr:row>33</xdr:row>
      <xdr:rowOff>57150</xdr:rowOff>
    </xdr:from>
    <xdr:to>
      <xdr:col>11</xdr:col>
      <xdr:colOff>323850</xdr:colOff>
      <xdr:row>48</xdr:row>
      <xdr:rowOff>19050</xdr:rowOff>
    </xdr:to>
    <xdr:graphicFrame macro="">
      <xdr:nvGraphicFramePr>
        <xdr:cNvPr id="1184" name="グラフ 9">
          <a:extLst>
            <a:ext uri="{FF2B5EF4-FFF2-40B4-BE49-F238E27FC236}">
              <a16:creationId xmlns:a16="http://schemas.microsoft.com/office/drawing/2014/main" id="{6FE403BC-C4A9-4FB3-B00F-A4F2D7565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57150</xdr:colOff>
      <xdr:row>42</xdr:row>
      <xdr:rowOff>152400</xdr:rowOff>
    </xdr:from>
    <xdr:to>
      <xdr:col>11</xdr:col>
      <xdr:colOff>171450</xdr:colOff>
      <xdr:row>44</xdr:row>
      <xdr:rowOff>66675</xdr:rowOff>
    </xdr:to>
    <xdr:pic>
      <xdr:nvPicPr>
        <xdr:cNvPr id="1185" name="Picture 130">
          <a:extLst>
            <a:ext uri="{FF2B5EF4-FFF2-40B4-BE49-F238E27FC236}">
              <a16:creationId xmlns:a16="http://schemas.microsoft.com/office/drawing/2014/main" id="{06307805-1C76-45F2-BA06-7D37A63170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19575" y="9324975"/>
          <a:ext cx="11620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54"/>
  <sheetViews>
    <sheetView showGridLines="0" tabSelected="1" zoomScaleNormal="100" workbookViewId="0">
      <selection activeCell="L2" sqref="L2:N2"/>
    </sheetView>
  </sheetViews>
  <sheetFormatPr defaultRowHeight="12" x14ac:dyDescent="0.15"/>
  <cols>
    <col min="1" max="1" width="3.5" style="2" customWidth="1"/>
    <col min="2" max="2" width="5.5" style="2" customWidth="1"/>
    <col min="3" max="3" width="5.625" style="2" customWidth="1"/>
    <col min="4" max="4" width="6.125" style="2" customWidth="1"/>
    <col min="5" max="5" width="6.375" style="2" customWidth="1"/>
    <col min="6" max="6" width="7" style="2" customWidth="1"/>
    <col min="7" max="7" width="6.75" style="2" customWidth="1"/>
    <col min="8" max="9" width="6.875" style="2" customWidth="1"/>
    <col min="10" max="10" width="7.125" style="2" customWidth="1"/>
    <col min="11" max="13" width="6.625" style="2" customWidth="1"/>
    <col min="14" max="14" width="7" style="2" customWidth="1"/>
    <col min="15" max="15" width="6.625" style="12" customWidth="1"/>
    <col min="16" max="16" width="1" style="12" customWidth="1"/>
    <col min="17" max="17" width="4.25" style="2" hidden="1" customWidth="1"/>
    <col min="18" max="18" width="7.5" style="2" hidden="1" customWidth="1"/>
    <col min="19" max="19" width="0.5" style="2" hidden="1" customWidth="1"/>
    <col min="20" max="20" width="8" style="2" hidden="1" customWidth="1"/>
    <col min="21" max="21" width="8.5" style="2" hidden="1" customWidth="1"/>
    <col min="22" max="22" width="9" style="2" hidden="1" customWidth="1"/>
    <col min="23" max="23" width="7.125" style="2" hidden="1" customWidth="1"/>
    <col min="24" max="28" width="9" style="2" hidden="1" customWidth="1"/>
    <col min="29" max="44" width="9" style="2" customWidth="1"/>
    <col min="45" max="45" width="1.75" style="2" customWidth="1"/>
    <col min="46" max="46" width="4.25" style="2" customWidth="1"/>
    <col min="47" max="47" width="7.625" style="2" customWidth="1"/>
    <col min="48" max="48" width="1.25" style="2" customWidth="1"/>
    <col min="49" max="16384" width="9" style="2"/>
  </cols>
  <sheetData>
    <row r="1" spans="1:24" ht="13.5" customHeight="1" thickBot="1" x14ac:dyDescent="0.2">
      <c r="A1" s="89"/>
      <c r="B1" s="94" t="s">
        <v>311</v>
      </c>
      <c r="C1" s="92"/>
      <c r="D1" s="90"/>
      <c r="E1" s="90"/>
      <c r="F1" s="90"/>
      <c r="G1" s="90"/>
      <c r="H1" s="90"/>
      <c r="I1" s="66"/>
      <c r="J1" s="66"/>
      <c r="K1" s="66"/>
      <c r="L1" s="66"/>
      <c r="M1" s="66"/>
      <c r="N1" s="66"/>
      <c r="O1" s="66"/>
      <c r="P1" s="29"/>
      <c r="V1" s="2" t="s">
        <v>356</v>
      </c>
    </row>
    <row r="2" spans="1:24" ht="24.75" customHeight="1" thickTop="1" thickBot="1" x14ac:dyDescent="0.2">
      <c r="A2" s="91"/>
      <c r="B2" s="210" t="s">
        <v>347</v>
      </c>
      <c r="C2" s="211"/>
      <c r="D2" s="211"/>
      <c r="E2" s="211"/>
      <c r="F2" s="211"/>
      <c r="G2" s="211"/>
      <c r="H2" s="212"/>
      <c r="I2" s="27" t="s">
        <v>18</v>
      </c>
      <c r="J2" s="65" t="s">
        <v>29</v>
      </c>
      <c r="K2" s="27" t="s">
        <v>19</v>
      </c>
      <c r="L2" s="217"/>
      <c r="M2" s="218"/>
      <c r="N2" s="219"/>
      <c r="O2" s="26"/>
      <c r="P2" s="30"/>
      <c r="V2" s="2" t="s">
        <v>357</v>
      </c>
    </row>
    <row r="3" spans="1:24" ht="20.25" customHeight="1" thickTop="1" x14ac:dyDescent="0.15">
      <c r="A3" s="68" t="s">
        <v>98</v>
      </c>
      <c r="B3" s="26"/>
      <c r="C3" s="26"/>
      <c r="D3" s="75" t="s">
        <v>442</v>
      </c>
      <c r="E3" s="28"/>
      <c r="F3" s="28"/>
      <c r="G3" s="28"/>
      <c r="H3" s="28"/>
      <c r="I3" s="28"/>
      <c r="J3" s="28"/>
      <c r="K3" s="28"/>
      <c r="L3" s="26"/>
      <c r="M3" s="26"/>
      <c r="N3" s="26"/>
      <c r="O3" s="26"/>
      <c r="P3" s="30"/>
      <c r="V3" s="2" t="s">
        <v>358</v>
      </c>
    </row>
    <row r="4" spans="1:24" s="1" customFormat="1" ht="12.75" customHeight="1" x14ac:dyDescent="0.15">
      <c r="A4" s="222" t="s">
        <v>93</v>
      </c>
      <c r="B4" s="224" t="s">
        <v>352</v>
      </c>
      <c r="C4" s="225"/>
      <c r="D4" s="56" t="s">
        <v>7</v>
      </c>
      <c r="E4" s="56" t="s">
        <v>8</v>
      </c>
      <c r="F4" s="6" t="s">
        <v>55</v>
      </c>
      <c r="G4" s="6" t="s">
        <v>56</v>
      </c>
      <c r="H4" s="7" t="s">
        <v>1</v>
      </c>
      <c r="I4" s="7" t="s">
        <v>16</v>
      </c>
      <c r="J4" s="7" t="s">
        <v>2</v>
      </c>
      <c r="K4" s="58" t="s">
        <v>3</v>
      </c>
      <c r="L4" s="59" t="s">
        <v>9</v>
      </c>
      <c r="M4" s="7" t="s">
        <v>4</v>
      </c>
      <c r="N4" s="7" t="s">
        <v>5</v>
      </c>
      <c r="O4" s="7" t="s">
        <v>57</v>
      </c>
      <c r="P4" s="31"/>
      <c r="Q4" s="1" t="s">
        <v>29</v>
      </c>
      <c r="V4" s="2" t="s">
        <v>359</v>
      </c>
      <c r="W4" s="2"/>
      <c r="X4" s="2"/>
    </row>
    <row r="5" spans="1:24" s="1" customFormat="1" ht="12.75" customHeight="1" x14ac:dyDescent="0.15">
      <c r="A5" s="222"/>
      <c r="B5" s="67" t="s">
        <v>92</v>
      </c>
      <c r="C5" s="67" t="s">
        <v>351</v>
      </c>
      <c r="D5" s="57" t="s">
        <v>10</v>
      </c>
      <c r="E5" s="57" t="s">
        <v>11</v>
      </c>
      <c r="F5" s="3" t="s">
        <v>11</v>
      </c>
      <c r="G5" s="3" t="s">
        <v>11</v>
      </c>
      <c r="H5" s="4" t="s">
        <v>12</v>
      </c>
      <c r="I5" s="4" t="s">
        <v>10</v>
      </c>
      <c r="J5" s="4" t="s">
        <v>13</v>
      </c>
      <c r="K5" s="60" t="s">
        <v>39</v>
      </c>
      <c r="L5" s="61" t="s">
        <v>12</v>
      </c>
      <c r="M5" s="4" t="s">
        <v>14</v>
      </c>
      <c r="N5" s="4" t="s">
        <v>10</v>
      </c>
      <c r="O5" s="5" t="s">
        <v>15</v>
      </c>
      <c r="P5" s="32"/>
      <c r="Q5" s="1" t="s">
        <v>32</v>
      </c>
      <c r="V5" s="2" t="s">
        <v>360</v>
      </c>
      <c r="W5" s="2"/>
      <c r="X5" s="2"/>
    </row>
    <row r="6" spans="1:24" ht="17.25" customHeight="1" x14ac:dyDescent="0.15">
      <c r="A6" s="168">
        <v>1</v>
      </c>
      <c r="B6" s="147"/>
      <c r="C6" s="153"/>
      <c r="D6" s="93"/>
      <c r="E6" s="54"/>
      <c r="F6" s="54"/>
      <c r="G6" s="54"/>
      <c r="H6" s="54"/>
      <c r="I6" s="54"/>
      <c r="J6" s="54"/>
      <c r="K6" s="62"/>
      <c r="L6" s="63"/>
      <c r="M6" s="99"/>
      <c r="N6" s="54"/>
      <c r="O6" s="55"/>
      <c r="P6" s="33"/>
      <c r="Q6" s="2" t="str">
        <f t="shared" ref="Q6:Q11" si="0">IF(K6&gt;0,"持久走",IF(L6&gt;0,"シャトルラン",""))</f>
        <v/>
      </c>
      <c r="R6" s="43" t="str">
        <f t="shared" ref="R6:R11" si="1">IF(K6="","",INT(K6)*60+(K6-INT(K6))*100)</f>
        <v/>
      </c>
      <c r="S6" s="1" t="str">
        <f t="shared" ref="S6:S11" si="2">IF(SUM(F6:G6)=0,"",ROUND((F6+G6)/2,0))</f>
        <v/>
      </c>
      <c r="T6" s="2" t="str">
        <f t="shared" ref="T6:T11" si="3">B6&amp;"-"&amp;C6</f>
        <v>-</v>
      </c>
      <c r="V6" s="2" t="s">
        <v>361</v>
      </c>
    </row>
    <row r="7" spans="1:24" ht="17.25" customHeight="1" x14ac:dyDescent="0.15">
      <c r="A7" s="168">
        <v>2</v>
      </c>
      <c r="B7" s="147"/>
      <c r="C7" s="153"/>
      <c r="D7" s="93"/>
      <c r="E7" s="54"/>
      <c r="F7" s="54"/>
      <c r="G7" s="54"/>
      <c r="H7" s="54"/>
      <c r="I7" s="54"/>
      <c r="J7" s="54"/>
      <c r="K7" s="62"/>
      <c r="L7" s="63"/>
      <c r="M7" s="99"/>
      <c r="N7" s="54"/>
      <c r="O7" s="55"/>
      <c r="P7" s="33"/>
      <c r="Q7" s="2" t="str">
        <f t="shared" si="0"/>
        <v/>
      </c>
      <c r="R7" s="43" t="str">
        <f t="shared" si="1"/>
        <v/>
      </c>
      <c r="S7" s="1" t="str">
        <f t="shared" si="2"/>
        <v/>
      </c>
      <c r="T7" s="2" t="str">
        <f t="shared" si="3"/>
        <v>-</v>
      </c>
      <c r="V7" s="2" t="s">
        <v>362</v>
      </c>
      <c r="W7" s="2" t="s">
        <v>59</v>
      </c>
    </row>
    <row r="8" spans="1:24" ht="17.25" customHeight="1" x14ac:dyDescent="0.15">
      <c r="A8" s="168">
        <v>3</v>
      </c>
      <c r="B8" s="147"/>
      <c r="C8" s="153"/>
      <c r="D8" s="93"/>
      <c r="E8" s="54"/>
      <c r="F8" s="54"/>
      <c r="G8" s="54"/>
      <c r="H8" s="54"/>
      <c r="I8" s="54"/>
      <c r="J8" s="54"/>
      <c r="K8" s="62"/>
      <c r="L8" s="63"/>
      <c r="M8" s="99"/>
      <c r="N8" s="54"/>
      <c r="O8" s="55"/>
      <c r="P8" s="33"/>
      <c r="Q8" s="2" t="str">
        <f t="shared" si="0"/>
        <v/>
      </c>
      <c r="R8" s="43" t="str">
        <f t="shared" si="1"/>
        <v/>
      </c>
      <c r="S8" s="1" t="str">
        <f t="shared" si="2"/>
        <v/>
      </c>
      <c r="T8" s="2" t="str">
        <f t="shared" si="3"/>
        <v>-</v>
      </c>
      <c r="V8" s="2" t="s">
        <v>363</v>
      </c>
      <c r="W8" s="2" t="s">
        <v>60</v>
      </c>
    </row>
    <row r="9" spans="1:24" ht="17.25" customHeight="1" x14ac:dyDescent="0.15">
      <c r="A9" s="168">
        <v>4</v>
      </c>
      <c r="B9" s="147"/>
      <c r="C9" s="153"/>
      <c r="D9" s="93"/>
      <c r="E9" s="54"/>
      <c r="F9" s="54"/>
      <c r="G9" s="54"/>
      <c r="H9" s="54"/>
      <c r="I9" s="54"/>
      <c r="J9" s="54"/>
      <c r="K9" s="62"/>
      <c r="L9" s="63"/>
      <c r="M9" s="99"/>
      <c r="N9" s="54"/>
      <c r="O9" s="55"/>
      <c r="P9" s="33"/>
      <c r="Q9" s="2" t="str">
        <f t="shared" si="0"/>
        <v/>
      </c>
      <c r="R9" s="43" t="str">
        <f t="shared" si="1"/>
        <v/>
      </c>
      <c r="S9" s="1" t="str">
        <f t="shared" si="2"/>
        <v/>
      </c>
      <c r="T9" s="2" t="str">
        <f t="shared" si="3"/>
        <v>-</v>
      </c>
      <c r="V9" s="2" t="s">
        <v>355</v>
      </c>
      <c r="W9" s="2" t="s">
        <v>61</v>
      </c>
    </row>
    <row r="10" spans="1:24" ht="17.25" customHeight="1" x14ac:dyDescent="0.15">
      <c r="A10" s="168">
        <v>5</v>
      </c>
      <c r="B10" s="147"/>
      <c r="C10" s="153"/>
      <c r="D10" s="93"/>
      <c r="E10" s="54"/>
      <c r="F10" s="54"/>
      <c r="G10" s="54"/>
      <c r="H10" s="54"/>
      <c r="I10" s="54"/>
      <c r="J10" s="54"/>
      <c r="K10" s="62"/>
      <c r="L10" s="63"/>
      <c r="M10" s="99"/>
      <c r="N10" s="54"/>
      <c r="O10" s="55"/>
      <c r="P10" s="33"/>
      <c r="Q10" s="2" t="str">
        <f t="shared" si="0"/>
        <v/>
      </c>
      <c r="R10" s="43" t="str">
        <f t="shared" si="1"/>
        <v/>
      </c>
      <c r="S10" s="1" t="str">
        <f t="shared" si="2"/>
        <v/>
      </c>
      <c r="T10" s="2" t="str">
        <f t="shared" si="3"/>
        <v>-</v>
      </c>
      <c r="V10" s="2" t="s">
        <v>364</v>
      </c>
      <c r="W10" s="2" t="s">
        <v>328</v>
      </c>
    </row>
    <row r="11" spans="1:24" ht="17.25" customHeight="1" x14ac:dyDescent="0.15">
      <c r="A11" s="168">
        <v>6</v>
      </c>
      <c r="B11" s="147"/>
      <c r="C11" s="153"/>
      <c r="D11" s="93"/>
      <c r="E11" s="54"/>
      <c r="F11" s="54"/>
      <c r="G11" s="54"/>
      <c r="H11" s="54"/>
      <c r="I11" s="54"/>
      <c r="J11" s="54"/>
      <c r="K11" s="62"/>
      <c r="L11" s="63"/>
      <c r="M11" s="99"/>
      <c r="N11" s="54"/>
      <c r="O11" s="55"/>
      <c r="P11" s="33"/>
      <c r="Q11" s="2" t="str">
        <f t="shared" si="0"/>
        <v/>
      </c>
      <c r="R11" s="43" t="str">
        <f t="shared" si="1"/>
        <v/>
      </c>
      <c r="S11" s="1" t="str">
        <f t="shared" si="2"/>
        <v/>
      </c>
      <c r="T11" s="2" t="str">
        <f t="shared" si="3"/>
        <v>-</v>
      </c>
      <c r="V11" s="2" t="s">
        <v>365</v>
      </c>
      <c r="W11" s="2" t="s">
        <v>37</v>
      </c>
    </row>
    <row r="12" spans="1:24" ht="7.5" customHeight="1" x14ac:dyDescent="0.15">
      <c r="A12" s="35"/>
      <c r="B12" s="36"/>
      <c r="C12" s="36"/>
      <c r="D12" s="36"/>
      <c r="E12" s="36"/>
      <c r="F12" s="36"/>
      <c r="G12" s="36"/>
      <c r="H12" s="36"/>
      <c r="I12" s="36"/>
      <c r="J12" s="36"/>
      <c r="K12" s="36"/>
      <c r="L12" s="36"/>
      <c r="M12" s="36"/>
      <c r="N12" s="36"/>
      <c r="O12" s="36"/>
      <c r="P12" s="34"/>
      <c r="Q12" s="16"/>
      <c r="S12" s="1"/>
      <c r="V12" s="2" t="s">
        <v>366</v>
      </c>
      <c r="W12" s="2" t="s">
        <v>329</v>
      </c>
    </row>
    <row r="13" spans="1:24" ht="7.5" customHeight="1" thickBot="1" x14ac:dyDescent="0.2">
      <c r="A13" s="213" t="s">
        <v>90</v>
      </c>
      <c r="B13" s="214"/>
      <c r="C13" s="214"/>
      <c r="D13" s="214"/>
      <c r="E13" s="101"/>
      <c r="F13" s="101"/>
      <c r="G13" s="101"/>
      <c r="H13" s="101"/>
      <c r="I13" s="101"/>
      <c r="J13" s="101"/>
      <c r="K13" s="101"/>
      <c r="L13" s="101"/>
      <c r="M13" s="101"/>
      <c r="N13" s="101"/>
      <c r="O13" s="101"/>
      <c r="P13" s="108"/>
      <c r="Q13" s="12" t="str">
        <f>IF($B$23="持久走",TRUNC(Q14/60)&amp;"分"&amp;ROUND(MOD(Q14,60),0),Q14&amp;"回")</f>
        <v>回</v>
      </c>
      <c r="R13" s="45"/>
    </row>
    <row r="14" spans="1:24" ht="17.25" customHeight="1" thickBot="1" x14ac:dyDescent="0.2">
      <c r="A14" s="215"/>
      <c r="B14" s="216"/>
      <c r="C14" s="216"/>
      <c r="D14" s="216"/>
      <c r="E14" s="105"/>
      <c r="F14" s="128" t="s">
        <v>95</v>
      </c>
      <c r="G14" s="167">
        <v>1</v>
      </c>
      <c r="H14" s="223" t="s">
        <v>99</v>
      </c>
      <c r="I14" s="223"/>
      <c r="J14" s="223"/>
      <c r="K14" s="223"/>
      <c r="L14" s="223"/>
      <c r="M14" s="223"/>
      <c r="N14" s="223"/>
      <c r="O14" s="223"/>
      <c r="P14" s="107"/>
      <c r="Q14" s="41" t="str">
        <f>IF(AND(VLOOKUP($G$14,入力データ,12)="",VLOOKUP($G$14,入力データ,18)=""),"",IF(VLOOKUP($G$14,入力データ,12)&gt;0,VLOOKUP($G$14,入力データ,12),VLOOKUP($G$14,入力データ,18)))</f>
        <v/>
      </c>
      <c r="R14" s="42" t="str">
        <f>IF($B$16="","",IF($B$23="持久走",IF($J$2="男子",VLOOKUP($B$16,男子平均,12,FALSE),IF($J$2="女子",VLOOKUP($B$16,女子平均,12,FALSE),"")),IF($J$2="男子",VLOOKUP($B$16,男子平均,14,FALSE),IF($J$2="女子",VLOOKUP($B$16,女子平均,14,FALSE),""))))</f>
        <v/>
      </c>
    </row>
    <row r="15" spans="1:24" ht="10.5" customHeight="1" x14ac:dyDescent="0.15">
      <c r="A15" s="102"/>
      <c r="B15" s="220" t="s">
        <v>352</v>
      </c>
      <c r="C15" s="220"/>
      <c r="D15" s="104"/>
      <c r="E15" s="105"/>
      <c r="F15" s="106"/>
      <c r="G15" s="109"/>
      <c r="H15" s="110"/>
      <c r="I15" s="110"/>
      <c r="J15" s="110"/>
      <c r="K15" s="110"/>
      <c r="L15" s="110"/>
      <c r="M15" s="110"/>
      <c r="N15" s="110"/>
      <c r="O15" s="110"/>
      <c r="P15" s="111"/>
      <c r="Q15" s="13"/>
      <c r="T15" s="2" t="s">
        <v>323</v>
      </c>
    </row>
    <row r="16" spans="1:24" ht="15" customHeight="1" x14ac:dyDescent="0.15">
      <c r="A16" s="112"/>
      <c r="B16" s="233" t="str">
        <f>IF(VLOOKUP($G$14,入力データ,2)=0,"",VLOOKUP($G$14,入力データ,2)&amp;"-"&amp;VLOOKUP($G$14,入力データ,3))</f>
        <v/>
      </c>
      <c r="C16" s="233"/>
      <c r="D16" s="124" t="s">
        <v>7</v>
      </c>
      <c r="E16" s="155" t="str">
        <f>IF(VLOOKUP($G$14,入力データ,4)=0,"",VLOOKUP($G$14,入力データ,4))</f>
        <v/>
      </c>
      <c r="F16" s="149" t="s">
        <v>354</v>
      </c>
      <c r="G16" s="154" t="str">
        <f>IF(VLOOKUP($G$14,入力データ,5)=0,"",VLOOKUP($G$14,入力データ,5))</f>
        <v/>
      </c>
      <c r="H16" s="228" t="s">
        <v>353</v>
      </c>
      <c r="I16" s="229"/>
      <c r="J16" s="25" t="str">
        <f>IF(OR(E16="",G16=""),"",G16/(E16*E16*0.0001))</f>
        <v/>
      </c>
      <c r="K16" s="22" t="str">
        <f>IF(J16="","",IF(J16&lt;18.5,"やせ",IF(J16&lt;25,"標準",IF(J16&lt;30,"肥満","高度肥満"))))</f>
        <v/>
      </c>
      <c r="L16" s="231" t="s">
        <v>456</v>
      </c>
      <c r="M16" s="232"/>
      <c r="N16" s="25" t="str">
        <f>IF(E16="","",E16*E16*22*0.0001)</f>
        <v/>
      </c>
      <c r="O16" s="109" t="s">
        <v>17</v>
      </c>
      <c r="P16" s="121"/>
      <c r="Q16" s="2" t="e">
        <f t="shared" ref="Q16:Q23" si="4">RANK(G19,$G$19:$G$26)</f>
        <v>#VALUE!</v>
      </c>
      <c r="R16" s="2" t="s">
        <v>315</v>
      </c>
      <c r="T16" s="2" t="s">
        <v>67</v>
      </c>
    </row>
    <row r="17" spans="1:22" ht="21.75" customHeight="1" x14ac:dyDescent="0.15">
      <c r="A17" s="113"/>
      <c r="B17" s="103"/>
      <c r="C17" s="103"/>
      <c r="D17" s="117"/>
      <c r="E17" s="109"/>
      <c r="F17" s="118" t="s">
        <v>89</v>
      </c>
      <c r="G17" s="118"/>
      <c r="H17" s="118"/>
      <c r="I17" s="96"/>
      <c r="J17" s="96"/>
      <c r="K17" s="96"/>
      <c r="L17" s="96"/>
      <c r="M17" s="96"/>
      <c r="N17" s="96"/>
      <c r="O17" s="96"/>
      <c r="P17" s="119"/>
      <c r="Q17" s="2" t="e">
        <f t="shared" si="4"/>
        <v>#VALUE!</v>
      </c>
      <c r="R17" s="2" t="s">
        <v>316</v>
      </c>
      <c r="T17" s="130" t="s">
        <v>327</v>
      </c>
    </row>
    <row r="18" spans="1:22" ht="20.25" customHeight="1" x14ac:dyDescent="0.15">
      <c r="A18" s="113"/>
      <c r="B18" s="120"/>
      <c r="C18" s="120"/>
      <c r="D18" s="95" t="s">
        <v>33</v>
      </c>
      <c r="E18" s="95" t="s">
        <v>350</v>
      </c>
      <c r="F18" s="134" t="s">
        <v>62</v>
      </c>
      <c r="G18" s="95" t="s">
        <v>38</v>
      </c>
      <c r="H18" s="135"/>
      <c r="I18" s="136"/>
      <c r="J18" s="136"/>
      <c r="K18" s="136"/>
      <c r="L18" s="136"/>
      <c r="M18" s="136"/>
      <c r="N18" s="136"/>
      <c r="O18" s="136"/>
      <c r="P18" s="119"/>
      <c r="Q18" s="2" t="e">
        <f t="shared" si="4"/>
        <v>#VALUE!</v>
      </c>
      <c r="R18" s="2" t="s">
        <v>317</v>
      </c>
      <c r="T18" s="2" t="s">
        <v>69</v>
      </c>
    </row>
    <row r="19" spans="1:22" ht="18.75" customHeight="1" x14ac:dyDescent="0.15">
      <c r="A19" s="114"/>
      <c r="B19" s="226" t="s">
        <v>58</v>
      </c>
      <c r="C19" s="227"/>
      <c r="D19" s="98" t="str">
        <f>IF(VLOOKUP($G$14,入力データ,19)="","",VLOOKUP($G$14,入力データ,19))</f>
        <v/>
      </c>
      <c r="E19" s="69" t="str">
        <f>IF(D19="","",IF($J$2="男子",VLOOKUP($B$16,男子平均,4,FALSE),IF($J$2="女子",VLOOKUP($B$16,女子平均,4,FALSE),"")))</f>
        <v/>
      </c>
      <c r="F19" s="18" t="str">
        <f>IF(D19="","",VLOOKUP(D19,IF($J$2="男子",男握力,女握力),2))</f>
        <v/>
      </c>
      <c r="G19" s="25" t="str">
        <f>IF(D19="","",10*(D19-E19)/I19+50)</f>
        <v/>
      </c>
      <c r="H19" s="122"/>
      <c r="I19" s="131" t="str">
        <f>IF($B$16="","",IF($J$2="男子",VLOOKUP($B$16,男子平均,5,FALSE),IF($J$2="女子",VLOOKUP($B$16,女子平均,5,FALSE),"")))</f>
        <v/>
      </c>
      <c r="J19" s="132" t="e">
        <f>IF(D19="",NA(),10*(D19-E19)/I19+50)</f>
        <v>#N/A</v>
      </c>
      <c r="K19" s="133"/>
      <c r="L19" s="133"/>
      <c r="M19" s="133"/>
      <c r="N19" s="109"/>
      <c r="O19" s="109"/>
      <c r="P19" s="121"/>
      <c r="Q19" s="2" t="e">
        <f t="shared" si="4"/>
        <v>#VALUE!</v>
      </c>
      <c r="R19" s="2" t="s">
        <v>318</v>
      </c>
      <c r="T19" s="2" t="str">
        <f>B23</f>
        <v/>
      </c>
    </row>
    <row r="20" spans="1:22" ht="18.75" customHeight="1" x14ac:dyDescent="0.15">
      <c r="A20" s="114"/>
      <c r="B20" s="226" t="s">
        <v>1</v>
      </c>
      <c r="C20" s="227"/>
      <c r="D20" s="19" t="str">
        <f>IF(VLOOKUP($G$14,入力データ,8)="","",VLOOKUP($G$14,入力データ,8))</f>
        <v/>
      </c>
      <c r="E20" s="70" t="str">
        <f>IF(D20="","",IF($J$2="男子",VLOOKUP($B$16,男子平均,6,FALSE),IF($J$2="女子",VLOOKUP($B$16,女子平均,6,FALSE),"")))</f>
        <v/>
      </c>
      <c r="F20" s="18" t="str">
        <f>IF(D20="","",VLOOKUP(D20,IF($J$2="男子",男上体起こし,女上体起こし),2))</f>
        <v/>
      </c>
      <c r="G20" s="25" t="str">
        <f>IF(D20="","",10*(D20-E20)/I20+50)</f>
        <v/>
      </c>
      <c r="H20" s="109"/>
      <c r="I20" s="131" t="str">
        <f>IF($B$16="","",IF($J$2="男子",VLOOKUP($B$16,男子平均,7,FALSE),IF($J$2="女子",VLOOKUP($B$16,女子平均,7,FALSE),"")))</f>
        <v/>
      </c>
      <c r="J20" s="132" t="e">
        <f>IF(D20="",NA(),10*(D20-E20)/I20+50)</f>
        <v>#N/A</v>
      </c>
      <c r="K20" s="133"/>
      <c r="L20" s="133"/>
      <c r="M20" s="133"/>
      <c r="N20" s="109"/>
      <c r="O20" s="109"/>
      <c r="P20" s="121"/>
      <c r="Q20" s="2" t="e">
        <f t="shared" si="4"/>
        <v>#VALUE!</v>
      </c>
      <c r="R20" s="2" t="s">
        <v>319</v>
      </c>
      <c r="T20" s="2" t="s">
        <v>71</v>
      </c>
    </row>
    <row r="21" spans="1:22" ht="18.75" customHeight="1" x14ac:dyDescent="0.15">
      <c r="A21" s="114"/>
      <c r="B21" s="226" t="s">
        <v>16</v>
      </c>
      <c r="C21" s="227"/>
      <c r="D21" s="20" t="str">
        <f>IF(VLOOKUP($G$14,入力データ,9)="","",VLOOKUP($G$14,入力データ,9))</f>
        <v/>
      </c>
      <c r="E21" s="71" t="str">
        <f>IF(D21="","",IF($J$2="男子",VLOOKUP($B$16,男子平均,8,FALSE),IF($J$2="女子",VLOOKUP($B$16,女子平均,8,FALSE),"")))</f>
        <v/>
      </c>
      <c r="F21" s="18" t="str">
        <f>IF(D21="","",VLOOKUP(D21,IF($J$2="男子",男長座体前屈,女長座体前屈),2))</f>
        <v/>
      </c>
      <c r="G21" s="25" t="str">
        <f>IF(D21="","",10*(D21-E21)/I21+50)</f>
        <v/>
      </c>
      <c r="H21" s="109"/>
      <c r="I21" s="131" t="str">
        <f>IF($B$16="","",IF($J$2="男子",VLOOKUP($B$16,男子平均,9,FALSE),IF($J$2="女子",VLOOKUP($B$16,女子平均,9,FALSE),"")))</f>
        <v/>
      </c>
      <c r="J21" s="132" t="e">
        <f>IF(D21="",NA(),10*(D21-E21)/I21+50)</f>
        <v>#N/A</v>
      </c>
      <c r="K21" s="133"/>
      <c r="L21" s="133"/>
      <c r="M21" s="133"/>
      <c r="N21" s="109"/>
      <c r="O21" s="109"/>
      <c r="P21" s="121"/>
      <c r="Q21" s="2" t="e">
        <f t="shared" si="4"/>
        <v>#VALUE!</v>
      </c>
      <c r="R21" s="2" t="s">
        <v>320</v>
      </c>
      <c r="T21" s="130" t="s">
        <v>326</v>
      </c>
    </row>
    <row r="22" spans="1:22" ht="18.75" customHeight="1" x14ac:dyDescent="0.15">
      <c r="A22" s="114"/>
      <c r="B22" s="226" t="s">
        <v>2</v>
      </c>
      <c r="C22" s="227"/>
      <c r="D22" s="21" t="str">
        <f>IF(VLOOKUP($G$14,入力データ,10)="","",VLOOKUP($G$14,入力データ,10))</f>
        <v/>
      </c>
      <c r="E22" s="72" t="str">
        <f>IF(D22="","",IF($J$2="男子",VLOOKUP($B$16,男子平均,10,FALSE),IF($J$2="女子",VLOOKUP($B$16,女子平均,10,FALSE),"")))</f>
        <v/>
      </c>
      <c r="F22" s="18" t="str">
        <f>IF(D22="","",VLOOKUP(D22,IF($J$2="男子",男反復横とび,女反復横とび),2))</f>
        <v/>
      </c>
      <c r="G22" s="25" t="str">
        <f>IF(D22="","",10*(D22-E22)/I22+50)</f>
        <v/>
      </c>
      <c r="H22" s="109"/>
      <c r="I22" s="131" t="str">
        <f>IF($B$16="","",IF($J$2="男子",VLOOKUP($B$16,男子平均,11,FALSE),IF($J$2="女子",VLOOKUP($B$16,女子平均,11,FALSE),"")))</f>
        <v/>
      </c>
      <c r="J22" s="132" t="e">
        <f>IF(D22="",NA(),10*(D22-E22)/I22+50)</f>
        <v>#N/A</v>
      </c>
      <c r="K22" s="133"/>
      <c r="L22" s="133"/>
      <c r="M22" s="133"/>
      <c r="N22" s="109"/>
      <c r="O22" s="109"/>
      <c r="P22" s="121"/>
      <c r="Q22" s="2" t="e">
        <f t="shared" si="4"/>
        <v>#VALUE!</v>
      </c>
      <c r="R22" s="2" t="s">
        <v>321</v>
      </c>
      <c r="T22" s="2" t="s">
        <v>324</v>
      </c>
    </row>
    <row r="23" spans="1:22" ht="18.75" customHeight="1" x14ac:dyDescent="0.15">
      <c r="A23" s="114"/>
      <c r="B23" s="226" t="str">
        <f>VLOOKUP($G$14,入力データ,17)</f>
        <v/>
      </c>
      <c r="C23" s="227"/>
      <c r="D23" s="40" t="str">
        <f>IF(B23="","",IF($B$23="持久走",TRUNC(Q14/60)&amp;"分"&amp;ROUND(MOD(Q14,60),0),Q14&amp;"回"))</f>
        <v/>
      </c>
      <c r="E23" s="44" t="str">
        <f>IF(B23="","",IF($B$23="持久走",TRUNC(R14/60)&amp;"分"&amp;ROUND(MOD(R14,60),0),ROUND(R14,1)&amp;"回"))</f>
        <v/>
      </c>
      <c r="F23" s="18" t="str">
        <f>IF(Q14="","",IF(B23="持久走",VLOOKUP(Q14,IF($J$2="男子",男持久走,女持久走),2),VLOOKUP(Q14,IF($J$2="男子",男ｼｬﾄﾙﾗﾝ,女ｼｬﾄﾙﾗﾝ),2)))</f>
        <v/>
      </c>
      <c r="G23" s="25" t="str">
        <f>IF(Q14="","",IF(B23="持久走",10*(R14-Q14)/I23+50,10*(Q14-R14)/I23+50))</f>
        <v/>
      </c>
      <c r="H23" s="109"/>
      <c r="I23" s="131" t="str">
        <f>IF($B$16="","",IF($B$23="持久走",IF($J$2="男子",VLOOKUP($B$16,男子平均,13,FALSE),IF($J$2="女子",VLOOKUP($B$16,女子平均,13,FALSE),"")),IF($J$2="男子",VLOOKUP($B$16,男子平均,15,FALSE),IF($J$2="女子",VLOOKUP($B$16,女子平均,15,FALSE),""))))</f>
        <v/>
      </c>
      <c r="J23" s="132" t="e">
        <f>IF(Q14="",NA(),IF(B23="持久走",10*(R14-Q14)/I23+50,10*(Q14-R14)/I23+50))</f>
        <v>#N/A</v>
      </c>
      <c r="K23" s="133"/>
      <c r="L23" s="133"/>
      <c r="M23" s="133"/>
      <c r="N23" s="109"/>
      <c r="O23" s="109"/>
      <c r="P23" s="121"/>
      <c r="Q23" s="2" t="e">
        <f t="shared" si="4"/>
        <v>#VALUE!</v>
      </c>
      <c r="R23" s="2" t="s">
        <v>322</v>
      </c>
      <c r="T23" s="2" t="s">
        <v>325</v>
      </c>
    </row>
    <row r="24" spans="1:22" ht="18.75" customHeight="1" x14ac:dyDescent="0.15">
      <c r="A24" s="114"/>
      <c r="B24" s="226" t="s">
        <v>4</v>
      </c>
      <c r="C24" s="227"/>
      <c r="D24" s="100" t="str">
        <f>IF(VLOOKUP($G$14,入力データ,13)="","",VLOOKUP($G$14,入力データ,13))</f>
        <v/>
      </c>
      <c r="E24" s="97" t="str">
        <f>IF(D24="","",IF($J$2="男子",VLOOKUP($B$16,男子平均,16,FALSE),IF($J$2="女子",VLOOKUP($B$16,女子平均,16,FALSE),"")))</f>
        <v/>
      </c>
      <c r="F24" s="18" t="str">
        <f>IF(D24="","",VLOOKUP(D24,IF($J$2="男子",男５０ｍ走,女５０ｍ走),2))</f>
        <v/>
      </c>
      <c r="G24" s="25" t="str">
        <f>IF(D24="","",10*(E24-D24)/I24+50)</f>
        <v/>
      </c>
      <c r="H24" s="109"/>
      <c r="I24" s="131" t="str">
        <f>IF($B$16="","",IF($J$2="男子",VLOOKUP($B$16,男子平均,17,FALSE),IF($J$2="女子",VLOOKUP($B$16,女子平均,17,FALSE),"")))</f>
        <v/>
      </c>
      <c r="J24" s="132" t="e">
        <f>IF(D24="",NA(),10*(E24-D24)/I24+50)</f>
        <v>#N/A</v>
      </c>
      <c r="K24" s="133"/>
      <c r="L24" s="133"/>
      <c r="M24" s="133"/>
      <c r="N24" s="109"/>
      <c r="O24" s="109"/>
      <c r="P24" s="121"/>
      <c r="Q24" s="2">
        <v>1</v>
      </c>
      <c r="R24" s="2" t="s">
        <v>44</v>
      </c>
      <c r="S24" s="2">
        <v>41</v>
      </c>
      <c r="T24" s="2" t="s">
        <v>312</v>
      </c>
      <c r="U24" s="23" t="str">
        <f>IF(MAX(G19:G26)-MIN(G19:G26)&gt;10,"各体力要素のバランスを良くしましょう、"&amp;T23&amp;" これらを中心に全体的に高める努力をしていきましょう。","運動する習慣をつけましょう。色々なスポーツに挑戦し体力を高める努力をしていきましょう。")</f>
        <v>運動する習慣をつけましょう。色々なスポーツに挑戦し体力を高める努力をしていきましょう。</v>
      </c>
    </row>
    <row r="25" spans="1:22" ht="18.75" customHeight="1" x14ac:dyDescent="0.15">
      <c r="A25" s="114"/>
      <c r="B25" s="226" t="s">
        <v>5</v>
      </c>
      <c r="C25" s="227"/>
      <c r="D25" s="20" t="str">
        <f>IF(VLOOKUP($G$14,入力データ,14)="","",VLOOKUP($G$14,入力データ,14))</f>
        <v/>
      </c>
      <c r="E25" s="73" t="str">
        <f>IF(D25="","",IF($J$2="男子",VLOOKUP($B$16,男子平均,18,FALSE),IF($J$2="女子",VLOOKUP($B$16,女子平均,18,FALSE),"")))</f>
        <v/>
      </c>
      <c r="F25" s="18" t="str">
        <f>IF(D25="","",VLOOKUP(D25,IF($J$2="男子",男立ち幅とび,女立ち幅とび),2))</f>
        <v/>
      </c>
      <c r="G25" s="25" t="str">
        <f>IF(D25="","",10*(D25-E25)/I25+50)</f>
        <v/>
      </c>
      <c r="H25" s="109"/>
      <c r="I25" s="131" t="str">
        <f>IF($B$16="","",IF($J$2="男子",VLOOKUP($B$16,男子平均,19,FALSE),IF($J$2="女子",VLOOKUP($B$16,女子平均,19,FALSE),"")))</f>
        <v/>
      </c>
      <c r="J25" s="132" t="e">
        <f>IF(D25="",NA(),10*(D25-E25)/I25+50)</f>
        <v>#N/A</v>
      </c>
      <c r="K25" s="133"/>
      <c r="L25" s="133"/>
      <c r="M25" s="133"/>
      <c r="N25" s="109"/>
      <c r="O25" s="109"/>
      <c r="P25" s="121"/>
      <c r="Q25" s="2" t="e">
        <f>VLOOKUP(VLOOKUP($G$14,入力データ,2,FALSE),段階,5,FALSE)</f>
        <v>#N/A</v>
      </c>
      <c r="R25" s="2" t="s">
        <v>43</v>
      </c>
      <c r="S25" s="2">
        <v>43</v>
      </c>
      <c r="T25" s="2" t="s">
        <v>330</v>
      </c>
      <c r="U25" s="23" t="str">
        <f>IF(MAX(G19:G26)-MIN(G19:G26)&gt;10,"各体力要素のバランスを良くしましょう、"&amp;$T$23&amp;" これらを中心に全体的に高める努力をしていきましょう。","トレーニングで熊本県基準値をうわまわる種目もあるようです、目標をきめて計画的に努力してみましょう。")</f>
        <v>トレーニングで熊本県基準値をうわまわる種目もあるようです、目標をきめて計画的に努力してみましょう。</v>
      </c>
    </row>
    <row r="26" spans="1:22" ht="18.75" customHeight="1" x14ac:dyDescent="0.15">
      <c r="A26" s="114"/>
      <c r="B26" s="230" t="s">
        <v>6</v>
      </c>
      <c r="C26" s="230"/>
      <c r="D26" s="24" t="str">
        <f>IF(VLOOKUP($G$14,入力データ,15)="","",VLOOKUP($G$14,入力データ,15))</f>
        <v/>
      </c>
      <c r="E26" s="74" t="str">
        <f>IF(D26="","",IF($J$2="男子",VLOOKUP($B$16,男子平均,20,FALSE),IF($J$2="女子",VLOOKUP($B$16,女子平均,20,FALSE),"")))</f>
        <v/>
      </c>
      <c r="F26" s="18" t="str">
        <f>IF(D26="","",VLOOKUP(D26,IF($J$2="男子",男ﾊﾝﾄﾞﾎﾞｰﾙ投,女ﾊﾝﾄﾞﾎﾞｰﾙ投),2))</f>
        <v/>
      </c>
      <c r="G26" s="25" t="str">
        <f>IF(D26="","",10*(D26-E26)/I26+50)</f>
        <v/>
      </c>
      <c r="H26" s="109"/>
      <c r="I26" s="131" t="str">
        <f>IF($B$16="","",IF($J$2="男子",VLOOKUP($B$16,男子平均,21,FALSE),IF($J$2="女子",VLOOKUP($B$16,女子平均,21,FALSE),"")))</f>
        <v/>
      </c>
      <c r="J26" s="132" t="e">
        <f>IF(D26="",NA(),10*(D26-E26)/I26+50)</f>
        <v>#N/A</v>
      </c>
      <c r="K26" s="133"/>
      <c r="L26" s="133"/>
      <c r="M26" s="133"/>
      <c r="N26" s="109"/>
      <c r="O26" s="109"/>
      <c r="P26" s="121"/>
      <c r="Q26" s="2" t="e">
        <f>VLOOKUP(VLOOKUP($G$14,入力データ,2,FALSE),段階,4,FALSE)</f>
        <v>#N/A</v>
      </c>
      <c r="R26" s="2" t="s">
        <v>42</v>
      </c>
      <c r="S26" s="2">
        <v>45</v>
      </c>
      <c r="T26" s="2" t="s">
        <v>65</v>
      </c>
      <c r="U26" s="23" t="str">
        <f>IF(MAX(G19:G26)-MIN(G19:G26)&gt;10,"各体力要素のバランスを良くしましょう、"&amp;$T$23&amp;" これらを中心に全体的に高める努力をしていきましょう。","もう少しで熊本県基準値をうわまわる種目もあるようです。得意な種目を伸ばして、全体的に高めましょう。")</f>
        <v>もう少しで熊本県基準値をうわまわる種目もあるようです。得意な種目を伸ばして、全体的に高めましょう。</v>
      </c>
    </row>
    <row r="27" spans="1:22" ht="15.75" customHeight="1" x14ac:dyDescent="0.15">
      <c r="A27" s="113"/>
      <c r="B27" s="152" t="e">
        <f>"評価（Ａ："&amp;Q28&amp;"点～ Ｂ："&amp;Q27&amp;"点～ Ｃ："&amp;Q26&amp;"点～ Ｄ："&amp;Q25&amp;"点～）"</f>
        <v>#N/A</v>
      </c>
      <c r="C27" s="123"/>
      <c r="D27" s="109"/>
      <c r="E27" s="109"/>
      <c r="F27" s="109"/>
      <c r="G27" s="109"/>
      <c r="H27" s="109"/>
      <c r="I27" s="101"/>
      <c r="J27" s="221"/>
      <c r="K27" s="221"/>
      <c r="L27" s="221"/>
      <c r="M27" s="221"/>
      <c r="N27" s="221"/>
      <c r="O27" s="221"/>
      <c r="P27" s="121"/>
      <c r="Q27" s="2" t="e">
        <f>VLOOKUP(VLOOKUP($G$14,入力データ,2,FALSE),段階,3,FALSE)</f>
        <v>#N/A</v>
      </c>
      <c r="R27" s="2" t="s">
        <v>41</v>
      </c>
      <c r="S27" s="2">
        <v>47</v>
      </c>
      <c r="T27" s="2" t="s">
        <v>66</v>
      </c>
      <c r="U27" s="23" t="str">
        <f>IF(MAX(G19:G26)-MIN(G19:G26)&gt;10,"各体力要素のバランスを良くしましょう、"&amp;$T$23&amp;" これらを中心に全体的に高める努力をしていきましょう。","また各体力要素もバランスがとれているようです。次は評価Ａ段階になるよう目標をたて努力してください。")</f>
        <v>また各体力要素もバランスがとれているようです。次は評価Ａ段階になるよう目標をたて努力してください。</v>
      </c>
    </row>
    <row r="28" spans="1:22" ht="19.5" customHeight="1" x14ac:dyDescent="0.15">
      <c r="A28" s="113"/>
      <c r="B28" s="109"/>
      <c r="C28" s="124" t="s">
        <v>63</v>
      </c>
      <c r="D28" s="138">
        <f>SUM($F$19:$F$26)</f>
        <v>0</v>
      </c>
      <c r="E28" s="124" t="s">
        <v>94</v>
      </c>
      <c r="F28" s="139" t="str">
        <f>IF(COUNTBLANK(D19:D26)=0,VLOOKUP(D28,Q24:R28,2),"？")</f>
        <v>？</v>
      </c>
      <c r="G28" s="109"/>
      <c r="H28" s="109"/>
      <c r="I28" s="109"/>
      <c r="J28" s="221"/>
      <c r="K28" s="221"/>
      <c r="L28" s="221"/>
      <c r="M28" s="221"/>
      <c r="N28" s="221"/>
      <c r="O28" s="221"/>
      <c r="P28" s="121"/>
      <c r="Q28" s="2" t="e">
        <f>VLOOKUP(VLOOKUP($G$14,入力データ,2,FALSE),段階,2,FALSE)</f>
        <v>#N/A</v>
      </c>
      <c r="R28" s="2" t="s">
        <v>40</v>
      </c>
      <c r="S28" s="2">
        <v>50</v>
      </c>
      <c r="T28" s="2" t="s">
        <v>64</v>
      </c>
      <c r="U28" s="23" t="str">
        <f>IF(MAX(G19:G26)-MIN(G19:G26)&gt;10,"各体力要素のバランスを良くしましょう、"&amp;$T$23&amp;" これらを中心に全体的に高める努力をしていきましょう。","各体力要素のバランスも良く理想的です。今後も体力を持続させる努力をしていきましょう。")</f>
        <v>各体力要素のバランスも良く理想的です。今後も体力を持続させる努力をしていきましょう。</v>
      </c>
    </row>
    <row r="29" spans="1:22" ht="18" customHeight="1" thickBot="1" x14ac:dyDescent="0.2">
      <c r="A29" s="113"/>
      <c r="B29" s="164"/>
      <c r="C29" s="109"/>
      <c r="D29" s="109"/>
      <c r="E29" s="169" t="s">
        <v>453</v>
      </c>
      <c r="F29" s="109"/>
      <c r="G29" s="109"/>
      <c r="H29" s="109"/>
      <c r="I29" s="109"/>
      <c r="J29" s="129"/>
      <c r="K29" s="109"/>
      <c r="L29" s="109"/>
      <c r="M29" s="109"/>
      <c r="N29" s="109"/>
      <c r="O29" s="151"/>
      <c r="P29" s="150"/>
      <c r="R29" s="2" t="s">
        <v>79</v>
      </c>
      <c r="S29" s="2" t="s">
        <v>91</v>
      </c>
      <c r="T29" s="2" t="s">
        <v>441</v>
      </c>
      <c r="U29" s="2" t="s">
        <v>439</v>
      </c>
      <c r="V29" s="2" t="s">
        <v>440</v>
      </c>
    </row>
    <row r="30" spans="1:22" ht="41.25" customHeight="1" thickTop="1" thickBot="1" x14ac:dyDescent="0.2">
      <c r="A30" s="115"/>
      <c r="B30" s="234" t="str">
        <f>IF(F28="？","　全種目を実施（入力）してください。全種目を実施した場合のみ総合評価されます。"," あなたの総合的な体力は同学年の基準値"&amp;VLOOKUP($F$28,$R$24:$U$28,3,FALSE)&amp;VLOOKUP($F$28,R24:U28,4,FALSE))</f>
        <v>　全種目を実施（入力）してください。全種目を実施した場合のみ総合評価されます。</v>
      </c>
      <c r="C30" s="235"/>
      <c r="D30" s="235"/>
      <c r="E30" s="235"/>
      <c r="F30" s="235"/>
      <c r="G30" s="235"/>
      <c r="H30" s="235"/>
      <c r="I30" s="235"/>
      <c r="J30" s="235"/>
      <c r="K30" s="235"/>
      <c r="L30" s="235"/>
      <c r="M30" s="235"/>
      <c r="N30" s="235"/>
      <c r="O30" s="236"/>
      <c r="P30" s="121"/>
      <c r="Q30" s="2" t="s">
        <v>75</v>
      </c>
      <c r="R30" s="2">
        <v>4</v>
      </c>
      <c r="S30" s="2">
        <v>2</v>
      </c>
      <c r="T30" s="2">
        <v>5</v>
      </c>
      <c r="U30" s="2" t="s">
        <v>100</v>
      </c>
    </row>
    <row r="31" spans="1:22" ht="10.5" customHeight="1" thickTop="1" x14ac:dyDescent="0.15">
      <c r="A31" s="116"/>
      <c r="B31" s="125"/>
      <c r="C31" s="125"/>
      <c r="D31" s="125"/>
      <c r="E31" s="125"/>
      <c r="F31" s="125"/>
      <c r="G31" s="125"/>
      <c r="H31" s="125"/>
      <c r="I31" s="125"/>
      <c r="J31" s="126"/>
      <c r="K31" s="125"/>
      <c r="L31" s="125"/>
      <c r="M31" s="125"/>
      <c r="N31" s="125"/>
      <c r="O31" s="125"/>
      <c r="P31" s="127"/>
      <c r="Q31" s="2" t="s">
        <v>76</v>
      </c>
      <c r="R31" s="2">
        <v>5</v>
      </c>
      <c r="S31" s="2">
        <v>3</v>
      </c>
      <c r="T31" s="2">
        <v>5</v>
      </c>
      <c r="U31" s="2" t="s">
        <v>88</v>
      </c>
    </row>
    <row r="32" spans="1:22" ht="10.5" customHeight="1" thickBot="1" x14ac:dyDescent="0.2">
      <c r="A32" s="243" t="s">
        <v>97</v>
      </c>
      <c r="B32" s="244"/>
      <c r="C32" s="244"/>
      <c r="D32" s="161"/>
      <c r="E32" s="161"/>
      <c r="F32" s="161"/>
      <c r="G32" s="46"/>
      <c r="H32" s="161"/>
      <c r="I32" s="161"/>
      <c r="J32" s="46"/>
      <c r="K32" s="46"/>
      <c r="L32" s="46"/>
      <c r="M32" s="46"/>
      <c r="N32" s="46"/>
      <c r="O32" s="46"/>
      <c r="P32" s="50"/>
      <c r="Q32" s="2" t="s">
        <v>77</v>
      </c>
      <c r="R32" s="2">
        <v>19</v>
      </c>
      <c r="S32" s="2">
        <v>4</v>
      </c>
      <c r="T32" s="2">
        <f>IF(G19="",5,IF(G19&gt;50,6,5))</f>
        <v>5</v>
      </c>
      <c r="U32" s="2" t="s">
        <v>332</v>
      </c>
      <c r="V32" s="2" t="s">
        <v>340</v>
      </c>
    </row>
    <row r="33" spans="1:24" ht="18" customHeight="1" thickBot="1" x14ac:dyDescent="0.2">
      <c r="A33" s="245"/>
      <c r="B33" s="246"/>
      <c r="C33" s="246"/>
      <c r="D33" s="161"/>
      <c r="E33" s="49" t="s">
        <v>96</v>
      </c>
      <c r="F33" s="247" t="s">
        <v>67</v>
      </c>
      <c r="G33" s="248"/>
      <c r="H33" s="249"/>
      <c r="I33" s="165" t="s">
        <v>454</v>
      </c>
      <c r="J33" s="48"/>
      <c r="K33" s="48"/>
      <c r="L33" s="162"/>
      <c r="M33" s="163"/>
      <c r="N33" s="163"/>
      <c r="O33" s="163"/>
      <c r="P33" s="52"/>
      <c r="Q33" s="2" t="s">
        <v>67</v>
      </c>
      <c r="R33" s="2">
        <v>8</v>
      </c>
      <c r="S33" s="2">
        <v>6</v>
      </c>
      <c r="T33" s="2">
        <f>IF(G20="",5,IF(G20&gt;50,6,5))</f>
        <v>5</v>
      </c>
      <c r="U33" s="2" t="s">
        <v>333</v>
      </c>
      <c r="V33" s="2" t="s">
        <v>341</v>
      </c>
    </row>
    <row r="34" spans="1:24" ht="18" customHeight="1" x14ac:dyDescent="0.15">
      <c r="A34" s="47"/>
      <c r="B34" s="48"/>
      <c r="C34" s="48"/>
      <c r="D34" s="48"/>
      <c r="E34" s="48"/>
      <c r="F34" s="51"/>
      <c r="G34" s="48"/>
      <c r="H34" s="48"/>
      <c r="I34" s="48"/>
      <c r="J34" s="48"/>
      <c r="K34" s="48"/>
      <c r="L34" s="159"/>
      <c r="M34" s="239" t="s">
        <v>87</v>
      </c>
      <c r="N34" s="240"/>
      <c r="O34" s="241"/>
      <c r="P34" s="52"/>
      <c r="Q34" s="2" t="s">
        <v>68</v>
      </c>
      <c r="R34" s="2">
        <v>9</v>
      </c>
      <c r="S34" s="2">
        <v>8</v>
      </c>
      <c r="T34" s="2">
        <f>IF(G21="",5,IF(G21&gt;50,6,5))</f>
        <v>5</v>
      </c>
      <c r="U34" s="2" t="s">
        <v>334</v>
      </c>
      <c r="V34" s="2" t="s">
        <v>342</v>
      </c>
    </row>
    <row r="35" spans="1:24" ht="18" customHeight="1" x14ac:dyDescent="0.15">
      <c r="A35" s="47"/>
      <c r="B35" s="48"/>
      <c r="C35" s="48"/>
      <c r="D35" s="48"/>
      <c r="E35" s="48"/>
      <c r="F35" s="48"/>
      <c r="G35" s="48"/>
      <c r="H35" s="48"/>
      <c r="I35" s="48"/>
      <c r="J35" s="48"/>
      <c r="K35" s="160"/>
      <c r="L35" s="160"/>
      <c r="M35" s="242" t="str">
        <f>VLOOKUP($F$33,Q30:V40,VLOOKUP($F$33,Q30:V40,4,FALSE),FALSE)</f>
        <v>　上体起こしは上半身の筋力（腹筋）のテストです。中高生期は筋力アップに適した時期です。上体起こしには腹筋の力が必要となります。腹筋の筋力アップの際には、足を曲げて行いましょう。また、手の位置を変えて（頭の後ろ・上・胸の前・体の横など）自分の力を確かめながらトレーニングしましょう。</v>
      </c>
      <c r="N35" s="242"/>
      <c r="O35" s="242"/>
      <c r="P35" s="52"/>
      <c r="Q35" s="2" t="s">
        <v>69</v>
      </c>
      <c r="R35" s="2">
        <v>10</v>
      </c>
      <c r="S35" s="2">
        <v>10</v>
      </c>
      <c r="T35" s="2">
        <f>IF(G22="",5,IF(G22&gt;50,6,5))</f>
        <v>5</v>
      </c>
      <c r="U35" s="2" t="s">
        <v>335</v>
      </c>
      <c r="V35" s="2" t="s">
        <v>343</v>
      </c>
    </row>
    <row r="36" spans="1:24" ht="18" customHeight="1" x14ac:dyDescent="0.15">
      <c r="A36" s="47"/>
      <c r="B36" s="48"/>
      <c r="C36" s="48"/>
      <c r="D36" s="48"/>
      <c r="E36" s="48"/>
      <c r="F36" s="48"/>
      <c r="G36" s="48"/>
      <c r="H36" s="48"/>
      <c r="I36" s="48"/>
      <c r="J36" s="48"/>
      <c r="K36" s="160"/>
      <c r="L36" s="160"/>
      <c r="M36" s="242"/>
      <c r="N36" s="242"/>
      <c r="O36" s="242"/>
      <c r="P36" s="52"/>
      <c r="Q36" s="2" t="s">
        <v>346</v>
      </c>
      <c r="R36" s="2">
        <v>18</v>
      </c>
      <c r="S36" s="2">
        <v>12</v>
      </c>
      <c r="T36" s="2">
        <f>IF(G23="",5,IF(G23&gt;50,6,5))</f>
        <v>5</v>
      </c>
      <c r="U36" s="2" t="s">
        <v>336</v>
      </c>
      <c r="V36" s="2" t="s">
        <v>344</v>
      </c>
      <c r="W36" s="2">
        <v>-10</v>
      </c>
      <c r="X36" s="157" t="s">
        <v>452</v>
      </c>
    </row>
    <row r="37" spans="1:24" ht="18" customHeight="1" x14ac:dyDescent="0.15">
      <c r="A37" s="47"/>
      <c r="B37" s="48"/>
      <c r="C37" s="48"/>
      <c r="D37" s="48"/>
      <c r="E37" s="48"/>
      <c r="F37" s="48"/>
      <c r="G37" s="48"/>
      <c r="H37" s="48"/>
      <c r="I37" s="48"/>
      <c r="J37" s="48"/>
      <c r="K37" s="160"/>
      <c r="L37" s="160"/>
      <c r="M37" s="242"/>
      <c r="N37" s="242"/>
      <c r="O37" s="242"/>
      <c r="P37" s="52"/>
      <c r="Q37" s="2" t="s">
        <v>70</v>
      </c>
      <c r="R37" s="2">
        <v>12</v>
      </c>
      <c r="S37" s="2">
        <v>14</v>
      </c>
      <c r="T37" s="2">
        <f>IF(G23="",5,IF(G23&gt;50,6,5))</f>
        <v>5</v>
      </c>
      <c r="U37" s="2" t="s">
        <v>336</v>
      </c>
      <c r="V37" s="2" t="s">
        <v>344</v>
      </c>
      <c r="W37" s="2">
        <v>-1</v>
      </c>
      <c r="X37" s="157" t="s">
        <v>451</v>
      </c>
    </row>
    <row r="38" spans="1:24" ht="18" customHeight="1" x14ac:dyDescent="0.15">
      <c r="A38" s="47"/>
      <c r="B38" s="48"/>
      <c r="C38" s="48"/>
      <c r="D38" s="48"/>
      <c r="E38" s="48"/>
      <c r="F38" s="48"/>
      <c r="G38" s="48"/>
      <c r="H38" s="48"/>
      <c r="I38" s="48"/>
      <c r="J38" s="48"/>
      <c r="K38" s="160"/>
      <c r="L38" s="160"/>
      <c r="M38" s="242"/>
      <c r="N38" s="242"/>
      <c r="O38" s="242"/>
      <c r="P38" s="52"/>
      <c r="Q38" s="2" t="s">
        <v>71</v>
      </c>
      <c r="R38" s="2">
        <v>13</v>
      </c>
      <c r="S38" s="2">
        <v>16</v>
      </c>
      <c r="T38" s="2">
        <f>IF(G24="",5,IF(G24&gt;50,6,5))</f>
        <v>5</v>
      </c>
      <c r="U38" s="2" t="s">
        <v>337</v>
      </c>
      <c r="V38" s="2" t="s">
        <v>447</v>
      </c>
      <c r="W38" s="2">
        <v>1</v>
      </c>
      <c r="X38" s="140" t="s">
        <v>449</v>
      </c>
    </row>
    <row r="39" spans="1:24" ht="18" customHeight="1" x14ac:dyDescent="0.15">
      <c r="A39" s="47"/>
      <c r="B39" s="48"/>
      <c r="C39" s="48"/>
      <c r="D39" s="48"/>
      <c r="E39" s="48"/>
      <c r="F39" s="48"/>
      <c r="G39" s="48"/>
      <c r="H39" s="48"/>
      <c r="I39" s="48"/>
      <c r="J39" s="48"/>
      <c r="K39" s="160"/>
      <c r="L39" s="160"/>
      <c r="M39" s="242"/>
      <c r="N39" s="242"/>
      <c r="O39" s="242"/>
      <c r="P39" s="52"/>
      <c r="Q39" s="2" t="s">
        <v>72</v>
      </c>
      <c r="R39" s="2">
        <v>14</v>
      </c>
      <c r="S39" s="2">
        <v>18</v>
      </c>
      <c r="T39" s="2">
        <f>IF(G25="",6,IF(G25&gt;50,6,5))</f>
        <v>6</v>
      </c>
      <c r="U39" s="2" t="s">
        <v>338</v>
      </c>
      <c r="V39" s="2" t="s">
        <v>448</v>
      </c>
      <c r="W39" s="2">
        <v>1.2</v>
      </c>
      <c r="X39" s="140" t="s">
        <v>450</v>
      </c>
    </row>
    <row r="40" spans="1:24" ht="18" customHeight="1" x14ac:dyDescent="0.15">
      <c r="A40" s="47"/>
      <c r="B40" s="48"/>
      <c r="C40" s="48"/>
      <c r="D40" s="48"/>
      <c r="E40" s="48"/>
      <c r="F40" s="48"/>
      <c r="G40" s="48"/>
      <c r="H40" s="48"/>
      <c r="I40" s="48"/>
      <c r="J40" s="48"/>
      <c r="K40" s="160"/>
      <c r="L40" s="160"/>
      <c r="M40" s="242"/>
      <c r="N40" s="242"/>
      <c r="O40" s="242"/>
      <c r="P40" s="52"/>
      <c r="Q40" s="2" t="s">
        <v>73</v>
      </c>
      <c r="R40" s="2">
        <v>15</v>
      </c>
      <c r="S40" s="2">
        <v>20</v>
      </c>
      <c r="T40" s="2">
        <f>IF(G26="",6,IF(G26&gt;50,6,5))</f>
        <v>6</v>
      </c>
      <c r="U40" s="2" t="s">
        <v>339</v>
      </c>
      <c r="V40" s="2" t="s">
        <v>345</v>
      </c>
      <c r="W40" s="2">
        <v>1.5</v>
      </c>
      <c r="X40" s="140" t="s">
        <v>445</v>
      </c>
    </row>
    <row r="41" spans="1:24" ht="14.25" customHeight="1" x14ac:dyDescent="0.15">
      <c r="A41" s="47"/>
      <c r="B41" s="48"/>
      <c r="C41" s="48"/>
      <c r="D41" s="48"/>
      <c r="E41" s="48"/>
      <c r="F41" s="48"/>
      <c r="G41" s="48"/>
      <c r="H41" s="48"/>
      <c r="I41" s="48"/>
      <c r="J41" s="48"/>
      <c r="K41" s="160"/>
      <c r="L41" s="160"/>
      <c r="M41" s="242"/>
      <c r="N41" s="242"/>
      <c r="O41" s="242"/>
      <c r="P41" s="52"/>
      <c r="U41" s="2" t="s">
        <v>78</v>
      </c>
      <c r="V41" s="2" t="s">
        <v>457</v>
      </c>
      <c r="W41" s="2">
        <v>10</v>
      </c>
      <c r="X41" s="140" t="s">
        <v>446</v>
      </c>
    </row>
    <row r="42" spans="1:24" ht="11.25" customHeight="1" x14ac:dyDescent="0.15">
      <c r="A42" s="47"/>
      <c r="B42" s="48"/>
      <c r="C42" s="48"/>
      <c r="D42" s="48"/>
      <c r="E42" s="48"/>
      <c r="F42" s="48"/>
      <c r="G42" s="48"/>
      <c r="H42" s="48"/>
      <c r="I42" s="48"/>
      <c r="J42" s="48"/>
      <c r="K42" s="148"/>
      <c r="L42" s="148"/>
      <c r="M42" s="242"/>
      <c r="N42" s="242"/>
      <c r="O42" s="242"/>
      <c r="P42" s="52"/>
      <c r="Q42" s="38">
        <v>1</v>
      </c>
      <c r="R42" s="42" t="str">
        <f t="shared" ref="R42:R47" si="5">IF(C6=""," ",C6)</f>
        <v xml:space="preserve"> </v>
      </c>
      <c r="S42" s="42" t="s">
        <v>444</v>
      </c>
      <c r="T42" s="42" t="str">
        <f t="shared" ref="T42:T47" si="6">T6</f>
        <v>-</v>
      </c>
      <c r="U42" s="39" t="e">
        <f t="shared" ref="U42:U47" si="7">IF(VLOOKUP(Q42,入力データ,VLOOKUP($F$33,$Q$30:$R$40,2,FALSE),FALSE)="",NA(),VLOOKUP(Q42,入力データ,VLOOKUP($F$33,$Q$30:$R$40,2,FALSE),FALSE))</f>
        <v>#N/A</v>
      </c>
      <c r="V42" s="156" t="e">
        <f t="shared" ref="V42:V47" si="8">IF($J$2="男子",VLOOKUP(T42,男子平均,VLOOKUP($F$33,$Q$30:$S$40,3,FALSE),FALSE),VLOOKUP(T42,女子平均,VLOOKUP($F$33,$Q$30:$S$40,3,FALSE),FALSE))</f>
        <v>#N/A</v>
      </c>
    </row>
    <row r="43" spans="1:24" ht="17.25" customHeight="1" x14ac:dyDescent="0.15">
      <c r="A43" s="47"/>
      <c r="B43" s="48"/>
      <c r="C43" s="48"/>
      <c r="D43" s="48"/>
      <c r="E43" s="48"/>
      <c r="F43" s="48"/>
      <c r="G43" s="48"/>
      <c r="H43" s="48"/>
      <c r="I43" s="48"/>
      <c r="J43" s="48"/>
      <c r="K43" s="51"/>
      <c r="L43" s="51"/>
      <c r="M43" s="242"/>
      <c r="N43" s="242"/>
      <c r="O43" s="242"/>
      <c r="P43" s="52"/>
      <c r="Q43" s="38">
        <v>2</v>
      </c>
      <c r="R43" s="42" t="str">
        <f t="shared" si="5"/>
        <v xml:space="preserve"> </v>
      </c>
      <c r="S43" s="166" t="str">
        <f>IF(ISNA(V48),"　",VLOOKUP(V48,$W$36:$X$41,2))</f>
        <v>　</v>
      </c>
      <c r="T43" s="42" t="str">
        <f t="shared" si="6"/>
        <v>-</v>
      </c>
      <c r="U43" s="39" t="e">
        <f t="shared" si="7"/>
        <v>#N/A</v>
      </c>
      <c r="V43" s="156" t="e">
        <f t="shared" si="8"/>
        <v>#N/A</v>
      </c>
    </row>
    <row r="44" spans="1:24" ht="17.25" customHeight="1" x14ac:dyDescent="0.15">
      <c r="A44" s="47"/>
      <c r="B44" s="48"/>
      <c r="C44" s="48"/>
      <c r="D44" s="48"/>
      <c r="E44" s="48"/>
      <c r="F44" s="48"/>
      <c r="G44" s="48"/>
      <c r="H44" s="48"/>
      <c r="I44" s="48"/>
      <c r="J44" s="48"/>
      <c r="K44" s="51"/>
      <c r="L44" s="51"/>
      <c r="M44" s="242"/>
      <c r="N44" s="242"/>
      <c r="O44" s="242"/>
      <c r="P44" s="52"/>
      <c r="Q44" s="38">
        <v>3</v>
      </c>
      <c r="R44" s="42" t="str">
        <f t="shared" si="5"/>
        <v xml:space="preserve"> </v>
      </c>
      <c r="S44" s="166" t="str">
        <f>IF(ISNA(V49),"　",VLOOKUP(V49,$W$36:$X$41,2))</f>
        <v>　</v>
      </c>
      <c r="T44" s="42" t="str">
        <f t="shared" si="6"/>
        <v>-</v>
      </c>
      <c r="U44" s="39" t="e">
        <f t="shared" si="7"/>
        <v>#N/A</v>
      </c>
      <c r="V44" s="156" t="e">
        <f t="shared" si="8"/>
        <v>#N/A</v>
      </c>
    </row>
    <row r="45" spans="1:24" ht="17.25" customHeight="1" x14ac:dyDescent="0.15">
      <c r="A45" s="47"/>
      <c r="B45" s="48"/>
      <c r="C45" s="48"/>
      <c r="D45" s="48"/>
      <c r="E45" s="48"/>
      <c r="F45" s="48"/>
      <c r="G45" s="48"/>
      <c r="H45" s="48"/>
      <c r="I45" s="48"/>
      <c r="J45" s="48"/>
      <c r="K45" s="51"/>
      <c r="L45" s="51"/>
      <c r="M45" s="242"/>
      <c r="N45" s="242"/>
      <c r="O45" s="242"/>
      <c r="P45" s="52"/>
      <c r="Q45" s="38">
        <v>4</v>
      </c>
      <c r="R45" s="42" t="str">
        <f t="shared" si="5"/>
        <v xml:space="preserve"> </v>
      </c>
      <c r="S45" s="166" t="str">
        <f>IF(ISNA(V50),"　",VLOOKUP(V50,$W$36:$X$41,2))</f>
        <v>　</v>
      </c>
      <c r="T45" s="42" t="str">
        <f t="shared" si="6"/>
        <v>-</v>
      </c>
      <c r="U45" s="39" t="e">
        <f t="shared" si="7"/>
        <v>#N/A</v>
      </c>
      <c r="V45" s="156" t="e">
        <f t="shared" si="8"/>
        <v>#N/A</v>
      </c>
    </row>
    <row r="46" spans="1:24" ht="17.25" customHeight="1" x14ac:dyDescent="0.15">
      <c r="A46" s="47"/>
      <c r="B46" s="48"/>
      <c r="C46" s="48"/>
      <c r="D46" s="48"/>
      <c r="E46" s="48"/>
      <c r="F46" s="48"/>
      <c r="G46" s="48"/>
      <c r="H46" s="48"/>
      <c r="I46" s="48"/>
      <c r="J46" s="48"/>
      <c r="K46" s="51"/>
      <c r="L46" s="51"/>
      <c r="M46" s="242"/>
      <c r="N46" s="242"/>
      <c r="O46" s="242"/>
      <c r="P46" s="52"/>
      <c r="Q46" s="38">
        <v>5</v>
      </c>
      <c r="R46" s="42" t="str">
        <f t="shared" si="5"/>
        <v xml:space="preserve"> </v>
      </c>
      <c r="S46" s="166" t="str">
        <f>IF(ISNA(V51),"　",VLOOKUP(V51,$W$36:$X$41,2))</f>
        <v>　</v>
      </c>
      <c r="T46" s="42" t="str">
        <f t="shared" si="6"/>
        <v>-</v>
      </c>
      <c r="U46" s="39" t="e">
        <f t="shared" si="7"/>
        <v>#N/A</v>
      </c>
      <c r="V46" s="156" t="e">
        <f t="shared" si="8"/>
        <v>#N/A</v>
      </c>
    </row>
    <row r="47" spans="1:24" ht="17.25" customHeight="1" x14ac:dyDescent="0.15">
      <c r="A47" s="47"/>
      <c r="B47" s="48"/>
      <c r="C47" s="48"/>
      <c r="D47" s="48"/>
      <c r="E47" s="48"/>
      <c r="F47" s="48"/>
      <c r="G47" s="48"/>
      <c r="H47" s="48"/>
      <c r="I47" s="137"/>
      <c r="J47" s="48"/>
      <c r="K47" s="51"/>
      <c r="L47" s="51"/>
      <c r="M47" s="242"/>
      <c r="N47" s="242"/>
      <c r="O47" s="242"/>
      <c r="P47" s="52"/>
      <c r="Q47" s="38">
        <v>6</v>
      </c>
      <c r="R47" s="42" t="str">
        <f t="shared" si="5"/>
        <v xml:space="preserve"> </v>
      </c>
      <c r="S47" s="166" t="str">
        <f>IF(ISNA(V52),"　",VLOOKUP(V52,$W$36:$X$41,2))</f>
        <v>　</v>
      </c>
      <c r="T47" s="42" t="str">
        <f t="shared" si="6"/>
        <v>-</v>
      </c>
      <c r="U47" s="39" t="e">
        <f t="shared" si="7"/>
        <v>#N/A</v>
      </c>
      <c r="V47" s="156" t="e">
        <f t="shared" si="8"/>
        <v>#N/A</v>
      </c>
    </row>
    <row r="48" spans="1:24" ht="21" customHeight="1" x14ac:dyDescent="0.15">
      <c r="A48" s="47"/>
      <c r="B48" s="48"/>
      <c r="C48" s="48"/>
      <c r="D48" s="48"/>
      <c r="E48" s="48"/>
      <c r="F48" s="48"/>
      <c r="G48" s="48"/>
      <c r="H48" s="48"/>
      <c r="I48" s="137"/>
      <c r="J48" s="48"/>
      <c r="K48" s="51"/>
      <c r="L48" s="51"/>
      <c r="M48" s="242"/>
      <c r="N48" s="242"/>
      <c r="O48" s="242"/>
      <c r="P48" s="158"/>
      <c r="Q48" s="38"/>
      <c r="R48" s="42"/>
      <c r="S48" s="42" t="s">
        <v>331</v>
      </c>
      <c r="T48" s="39" t="e">
        <f>U43-U42</f>
        <v>#N/A</v>
      </c>
      <c r="U48" s="39" t="e">
        <f>IF(OR($F$33="持久走（秒）",$F$33="５０ｍ走"),IF((V43-V42)&gt;0,-(V43-V42),(V43-V42)),IF((V43-V42)&lt;0,-(V43-V42),(V43-V42)))</f>
        <v>#N/A</v>
      </c>
      <c r="V48" s="23" t="e">
        <f>T48/U48</f>
        <v>#N/A</v>
      </c>
    </row>
    <row r="49" spans="1:22" ht="20.25" customHeight="1" x14ac:dyDescent="0.15">
      <c r="A49" s="250" t="s">
        <v>455</v>
      </c>
      <c r="B49" s="251"/>
      <c r="C49" s="251"/>
      <c r="D49" s="251"/>
      <c r="E49" s="251"/>
      <c r="F49" s="251"/>
      <c r="G49" s="251"/>
      <c r="H49" s="251"/>
      <c r="I49" s="251"/>
      <c r="J49" s="251"/>
      <c r="K49" s="251"/>
      <c r="L49" s="251"/>
      <c r="M49" s="237" t="s">
        <v>443</v>
      </c>
      <c r="N49" s="237"/>
      <c r="O49" s="237"/>
      <c r="P49" s="238"/>
      <c r="Q49" s="38"/>
      <c r="R49" s="42"/>
      <c r="S49" s="42"/>
      <c r="T49" s="39" t="e">
        <f>U44-U43</f>
        <v>#N/A</v>
      </c>
      <c r="U49" s="39" t="e">
        <f>IF(OR($F$33="持久走（秒）",$F$33="５０ｍ走"),IF((V44-V43)&gt;0,-(V44-V43),(V44-V43)),IF((V44-V43)&lt;0,-(V44-V43),(V44-V43)))</f>
        <v>#N/A</v>
      </c>
      <c r="V49" s="23" t="e">
        <f>T49/U49</f>
        <v>#N/A</v>
      </c>
    </row>
    <row r="50" spans="1:22" ht="12" customHeight="1" x14ac:dyDescent="0.15">
      <c r="C50" s="141">
        <f>IF(COUNT(D11:O11)&gt;0,6,IF(COUNT(D10:O10)&gt;0,5,IF(COUNT(D9:O9)&gt;0,4,IF(COUNT(D8:O8)&gt;0,3,IF(COUNT(D7:O7)&gt;0,2,1)))))</f>
        <v>1</v>
      </c>
      <c r="D50" s="141" t="str">
        <f>IF(INDEX(D6:D11,$C$50)="","",INDEX(D6:D11,$C$50))</f>
        <v/>
      </c>
      <c r="E50" s="141" t="str">
        <f t="shared" ref="E50:O50" si="9">IF(INDEX(E6:E11,$C$50)="","",INDEX(E6:E11,$C$50))</f>
        <v/>
      </c>
      <c r="F50" s="141" t="str">
        <f t="shared" si="9"/>
        <v/>
      </c>
      <c r="G50" s="141" t="str">
        <f t="shared" si="9"/>
        <v/>
      </c>
      <c r="H50" s="141" t="str">
        <f t="shared" si="9"/>
        <v/>
      </c>
      <c r="I50" s="141" t="str">
        <f t="shared" si="9"/>
        <v/>
      </c>
      <c r="J50" s="141" t="str">
        <f t="shared" si="9"/>
        <v/>
      </c>
      <c r="K50" s="141" t="str">
        <f t="shared" si="9"/>
        <v/>
      </c>
      <c r="L50" s="141" t="str">
        <f t="shared" si="9"/>
        <v/>
      </c>
      <c r="M50" s="141" t="str">
        <f t="shared" si="9"/>
        <v/>
      </c>
      <c r="N50" s="141" t="str">
        <f t="shared" si="9"/>
        <v/>
      </c>
      <c r="O50" s="141" t="str">
        <f t="shared" si="9"/>
        <v/>
      </c>
      <c r="T50" s="39" t="e">
        <f>U45-U44</f>
        <v>#N/A</v>
      </c>
      <c r="U50" s="39" t="e">
        <f>IF(OR($F$33="持久走（秒）",$F$33="５０ｍ走"),IF((V45-V44)&gt;0,-(V45-V44),(V45-V44)),IF((V45-V44)&lt;0,-(V45-V44),(V45-V44)))</f>
        <v>#N/A</v>
      </c>
      <c r="V50" s="23" t="e">
        <f>T50/U50</f>
        <v>#N/A</v>
      </c>
    </row>
    <row r="51" spans="1:22" ht="11.25" customHeight="1" x14ac:dyDescent="0.15">
      <c r="T51" s="39" t="e">
        <f>U46-U45</f>
        <v>#N/A</v>
      </c>
      <c r="U51" s="39" t="e">
        <f>IF(OR($F$33="持久走（秒）",$F$33="５０ｍ走"),IF((V46-V45)&gt;0,-(V46-V45),(V46-V45)),IF((V46-V45)&lt;0,-(V46-V45),(V46-V45)))</f>
        <v>#N/A</v>
      </c>
      <c r="V51" s="23" t="e">
        <f>T51/U51</f>
        <v>#N/A</v>
      </c>
    </row>
    <row r="52" spans="1:22" ht="13.5" x14ac:dyDescent="0.15">
      <c r="M52" s="141" t="str">
        <f>IF(INDEX(M6:M11,$C$50)="","",INDEX(M6:M11,$C$50))</f>
        <v/>
      </c>
      <c r="N52" s="141" t="str">
        <f>IF(INDEX(N6:N11,$C$50)="","",INDEX(N6:N11,$C$50))</f>
        <v/>
      </c>
      <c r="O52" s="141" t="str">
        <f>IF(INDEX(O6:O11,$C$50)="","",INDEX(O6:O11,$C$50))</f>
        <v/>
      </c>
      <c r="T52" s="39" t="e">
        <f>U47-U46</f>
        <v>#N/A</v>
      </c>
      <c r="U52" s="39" t="e">
        <f>IF(OR($F$33="持久走（秒）",$F$33="５０ｍ走"),IF((V47-V46)&gt;0,-(V47-V46),(V47-V46)),IF((V47-V46)&lt;0,-(V47-V46),(V47-V46)))</f>
        <v>#N/A</v>
      </c>
      <c r="V52" s="23" t="e">
        <f>T52/U52</f>
        <v>#N/A</v>
      </c>
    </row>
    <row r="53" spans="1:22" ht="13.5" x14ac:dyDescent="0.15">
      <c r="T53" s="39"/>
    </row>
    <row r="54" spans="1:22" ht="13.5" x14ac:dyDescent="0.15">
      <c r="T54" s="39"/>
    </row>
  </sheetData>
  <sheetProtection password="CC57" sheet="1" objects="1" scenarios="1" selectLockedCells="1"/>
  <mergeCells count="27">
    <mergeCell ref="B30:O30"/>
    <mergeCell ref="J27:O27"/>
    <mergeCell ref="M49:P49"/>
    <mergeCell ref="M34:O34"/>
    <mergeCell ref="M35:O48"/>
    <mergeCell ref="A32:C33"/>
    <mergeCell ref="F33:H33"/>
    <mergeCell ref="A49:L49"/>
    <mergeCell ref="B26:C26"/>
    <mergeCell ref="B25:C25"/>
    <mergeCell ref="B23:C23"/>
    <mergeCell ref="L16:M16"/>
    <mergeCell ref="B20:C20"/>
    <mergeCell ref="B19:C19"/>
    <mergeCell ref="B16:C16"/>
    <mergeCell ref="B24:C24"/>
    <mergeCell ref="B21:C21"/>
    <mergeCell ref="B2:H2"/>
    <mergeCell ref="A13:D14"/>
    <mergeCell ref="L2:N2"/>
    <mergeCell ref="B15:C15"/>
    <mergeCell ref="J28:O28"/>
    <mergeCell ref="A4:A5"/>
    <mergeCell ref="H14:O14"/>
    <mergeCell ref="B4:C4"/>
    <mergeCell ref="B22:C22"/>
    <mergeCell ref="H16:I16"/>
  </mergeCells>
  <phoneticPr fontId="4"/>
  <dataValidations count="21">
    <dataValidation type="decimal" allowBlank="1" showInputMessage="1" showErrorMessage="1" error="入力値が不正です。例）６分０３→６．０３_x000a_持久走かｼｬﾄﾙﾗﾝのどちらかしか入力できません。" prompt="分単位での入力_x000a_６分０３秒の場合_x000a_6.03と入力" sqref="K6:K11">
      <formula1>IF(L6&gt;0,"",1)</formula1>
      <formula2>IF(L6&gt;0,"",30)</formula2>
    </dataValidation>
    <dataValidation type="whole" allowBlank="1" showErrorMessage="1" errorTitle="入力できません。" error="持久走かシャトルランどちらかの一つしか入力できません。" sqref="L6:L11">
      <formula1>IF(K6&gt;0,"",0)</formula1>
      <formula2>IF(K6&gt;0,"",500)</formula2>
    </dataValidation>
    <dataValidation type="list" allowBlank="1" showErrorMessage="1" prompt="_x000a_" sqref="F33">
      <formula1>$Q$30:$Q$40</formula1>
    </dataValidation>
    <dataValidation allowBlank="1" showErrorMessage="1" sqref="R13"/>
    <dataValidation type="decimal" allowBlank="1" showInputMessage="1" showErrorMessage="1" sqref="Q12 P6:P12">
      <formula1>0</formula1>
      <formula2>199</formula2>
    </dataValidation>
    <dataValidation type="list" allowBlank="1" showInputMessage="1" showErrorMessage="1" error="▼をクリックして男子か女子を選択" prompt="▼をクリックして性別_x000a_を選択してください" sqref="J2">
      <formula1>$Q$4:$Q$5</formula1>
    </dataValidation>
    <dataValidation type="decimal" allowBlank="1" showInputMessage="1" showErrorMessage="1" error="入力値が不正です_x000a_ｃｍ単位で入力してください" sqref="D6:D11">
      <formula1>70</formula1>
      <formula2>230</formula2>
    </dataValidation>
    <dataValidation type="decimal" allowBlank="1" showInputMessage="1" showErrorMessage="1" error="入力値が不正です" sqref="E6:E11">
      <formula1>25</formula1>
      <formula2>300</formula2>
    </dataValidation>
    <dataValidation type="decimal" allowBlank="1" showInputMessage="1" showErrorMessage="1" error="入力した値が正しくありません。もう一度単位を確認して再入力してください。" sqref="F6:G11">
      <formula1>0</formula1>
      <formula2>150</formula2>
    </dataValidation>
    <dataValidation type="whole" allowBlank="1" showInputMessage="1" showErrorMessage="1" error="入力した値が正しくありません。もう一度単位を確認して再入力してください。" sqref="H6:H11">
      <formula1>0</formula1>
      <formula2>99</formula2>
    </dataValidation>
    <dataValidation type="decimal" allowBlank="1" showInputMessage="1" showErrorMessage="1" error="入力した値が正しくありません。もう一度単位を確認して再入力してください。" sqref="I6:I11">
      <formula1>0</formula1>
      <formula2>99</formula2>
    </dataValidation>
    <dataValidation type="whole" allowBlank="1" showInputMessage="1" showErrorMessage="1" error="入力した値が正しくありません。もう一度単位を確認して再入力してください。" sqref="J6:J11">
      <formula1>5</formula1>
      <formula2>99</formula2>
    </dataValidation>
    <dataValidation type="decimal" allowBlank="1" showInputMessage="1" showErrorMessage="1" error="入力した値が正しくありません。もう一度単位を確認して再入力してください。" sqref="M6:M11">
      <formula1>4</formula1>
      <formula2>100</formula2>
    </dataValidation>
    <dataValidation type="decimal" allowBlank="1" showInputMessage="1" showErrorMessage="1" error="入力した値が正しくありません。もう一度単位を確認して再入力してください。" sqref="N6:N11">
      <formula1>5</formula1>
      <formula2>500</formula2>
    </dataValidation>
    <dataValidation type="decimal" allowBlank="1" showInputMessage="1" showErrorMessage="1" error="入力した値が正しくありません。もう一度単位を確認して再入力してください。" sqref="O6:O11">
      <formula1>0</formula1>
      <formula2>199</formula2>
    </dataValidation>
    <dataValidation allowBlank="1" showInputMessage="1" showErrorMessage="1" sqref="L2:N2"/>
    <dataValidation type="list" allowBlank="1" showInputMessage="1" showErrorMessage="1" error="▼をクリックして_x000a_リストから選択" sqref="B7:B11">
      <formula1>$W$7:$W$12</formula1>
    </dataValidation>
    <dataValidation type="list" showInputMessage="1" showErrorMessage="1" sqref="G14">
      <formula1>$A$6:$A$11</formula1>
    </dataValidation>
    <dataValidation type="list" allowBlank="1" showInputMessage="1" showErrorMessage="1" error="▼をクリックして_x000a_リストから選択" prompt="▼をクリックして学年_x000a_を選択してください。_x000a_またNo2以降も実施_x000a_予定の学年を入力_x000a_しておいてください。" sqref="B6">
      <formula1>$W$7:$W$12</formula1>
    </dataValidation>
    <dataValidation type="list" allowBlank="1" showInputMessage="1" showErrorMessage="1" error="▼をクリックして月を入力してください。" sqref="C7:C11">
      <formula1>$V$1:$V$12</formula1>
    </dataValidation>
    <dataValidation type="list" allowBlank="1" showInputMessage="1" showErrorMessage="1" error="▼をクリックして月を入力してください。" prompt="▼をクリックして実施月を入力してください。_x000a_" sqref="C6">
      <formula1>$V$1:$V$12</formula1>
    </dataValidation>
  </dataValidations>
  <printOptions horizontalCentered="1" verticalCentered="1"/>
  <pageMargins left="0.19685039370078741" right="0.19685039370078741" top="0.41" bottom="0.27559055118110237" header="0.43" footer="0.51181102362204722"/>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32"/>
  <sheetViews>
    <sheetView showGridLines="0" zoomScaleNormal="100" workbookViewId="0">
      <selection activeCell="L25" sqref="L25"/>
    </sheetView>
  </sheetViews>
  <sheetFormatPr defaultRowHeight="15.75" customHeight="1" x14ac:dyDescent="0.15"/>
  <cols>
    <col min="1" max="1" width="2.5" customWidth="1"/>
    <col min="2" max="2" width="3.75" customWidth="1"/>
    <col min="3" max="3" width="4.5" style="85" customWidth="1"/>
    <col min="4" max="7" width="11" style="85" customWidth="1"/>
    <col min="8" max="8" width="13.25" style="85" customWidth="1"/>
    <col min="9" max="11" width="10.375" style="85" customWidth="1"/>
    <col min="12" max="12" width="9.875" customWidth="1"/>
  </cols>
  <sheetData>
    <row r="1" spans="2:12" ht="9" customHeight="1" x14ac:dyDescent="0.15"/>
    <row r="2" spans="2:12" ht="15.75" customHeight="1" x14ac:dyDescent="0.15">
      <c r="B2" s="252" t="s">
        <v>214</v>
      </c>
      <c r="C2" s="252"/>
      <c r="D2" s="252"/>
      <c r="E2" s="252"/>
      <c r="F2" s="252"/>
      <c r="G2" s="252"/>
      <c r="H2" s="252"/>
      <c r="I2" s="252"/>
      <c r="J2" s="252"/>
      <c r="K2" s="252"/>
      <c r="L2" s="252"/>
    </row>
    <row r="3" spans="2:12" ht="27.75" customHeight="1" x14ac:dyDescent="0.15">
      <c r="B3" s="253" t="s">
        <v>101</v>
      </c>
      <c r="C3" s="76" t="s">
        <v>102</v>
      </c>
      <c r="D3" s="77" t="s">
        <v>103</v>
      </c>
      <c r="E3" s="77" t="s">
        <v>67</v>
      </c>
      <c r="F3" s="77" t="s">
        <v>68</v>
      </c>
      <c r="G3" s="77" t="s">
        <v>69</v>
      </c>
      <c r="H3" s="78" t="s">
        <v>3</v>
      </c>
      <c r="I3" s="78" t="s">
        <v>308</v>
      </c>
      <c r="J3" s="78" t="s">
        <v>104</v>
      </c>
      <c r="K3" s="78" t="s">
        <v>72</v>
      </c>
      <c r="L3" s="78" t="s">
        <v>215</v>
      </c>
    </row>
    <row r="4" spans="2:12" ht="15.75" customHeight="1" x14ac:dyDescent="0.15">
      <c r="B4" s="254"/>
      <c r="C4" s="79">
        <v>10</v>
      </c>
      <c r="D4" s="80" t="s">
        <v>140</v>
      </c>
      <c r="E4" s="80" t="s">
        <v>141</v>
      </c>
      <c r="F4" s="80" t="s">
        <v>142</v>
      </c>
      <c r="G4" s="80" t="s">
        <v>143</v>
      </c>
      <c r="H4" s="80" t="s">
        <v>144</v>
      </c>
      <c r="I4" s="80" t="s">
        <v>179</v>
      </c>
      <c r="J4" s="80" t="s">
        <v>180</v>
      </c>
      <c r="K4" s="80" t="s">
        <v>181</v>
      </c>
      <c r="L4" s="80" t="s">
        <v>182</v>
      </c>
    </row>
    <row r="5" spans="2:12" ht="15.75" customHeight="1" x14ac:dyDescent="0.15">
      <c r="B5" s="254"/>
      <c r="C5" s="79">
        <v>9</v>
      </c>
      <c r="D5" s="80" t="s">
        <v>145</v>
      </c>
      <c r="E5" s="80" t="s">
        <v>146</v>
      </c>
      <c r="F5" s="80" t="s">
        <v>147</v>
      </c>
      <c r="G5" s="80" t="s">
        <v>148</v>
      </c>
      <c r="H5" s="80" t="s">
        <v>149</v>
      </c>
      <c r="I5" s="80" t="s">
        <v>183</v>
      </c>
      <c r="J5" s="80" t="s">
        <v>184</v>
      </c>
      <c r="K5" s="80" t="s">
        <v>185</v>
      </c>
      <c r="L5" s="80" t="s">
        <v>186</v>
      </c>
    </row>
    <row r="6" spans="2:12" ht="15.75" customHeight="1" x14ac:dyDescent="0.15">
      <c r="B6" s="254"/>
      <c r="C6" s="79">
        <v>8</v>
      </c>
      <c r="D6" s="80" t="s">
        <v>150</v>
      </c>
      <c r="E6" s="80" t="s">
        <v>151</v>
      </c>
      <c r="F6" s="80" t="s">
        <v>152</v>
      </c>
      <c r="G6" s="80" t="s">
        <v>153</v>
      </c>
      <c r="H6" s="80" t="s">
        <v>154</v>
      </c>
      <c r="I6" s="80" t="s">
        <v>187</v>
      </c>
      <c r="J6" s="80" t="s">
        <v>188</v>
      </c>
      <c r="K6" s="80" t="s">
        <v>189</v>
      </c>
      <c r="L6" s="80" t="s">
        <v>190</v>
      </c>
    </row>
    <row r="7" spans="2:12" ht="15.75" customHeight="1" x14ac:dyDescent="0.15">
      <c r="B7" s="254"/>
      <c r="C7" s="79">
        <v>7</v>
      </c>
      <c r="D7" s="80" t="s">
        <v>119</v>
      </c>
      <c r="E7" s="80" t="s">
        <v>114</v>
      </c>
      <c r="F7" s="80" t="s">
        <v>155</v>
      </c>
      <c r="G7" s="80" t="s">
        <v>156</v>
      </c>
      <c r="H7" s="80" t="s">
        <v>157</v>
      </c>
      <c r="I7" s="80" t="s">
        <v>191</v>
      </c>
      <c r="J7" s="80" t="s">
        <v>192</v>
      </c>
      <c r="K7" s="80" t="s">
        <v>193</v>
      </c>
      <c r="L7" s="80" t="s">
        <v>194</v>
      </c>
    </row>
    <row r="8" spans="2:12" ht="15.75" customHeight="1" x14ac:dyDescent="0.15">
      <c r="B8" s="254"/>
      <c r="C8" s="79">
        <v>6</v>
      </c>
      <c r="D8" s="80" t="s">
        <v>108</v>
      </c>
      <c r="E8" s="80" t="s">
        <v>158</v>
      </c>
      <c r="F8" s="80" t="s">
        <v>159</v>
      </c>
      <c r="G8" s="80" t="s">
        <v>155</v>
      </c>
      <c r="H8" s="80" t="s">
        <v>160</v>
      </c>
      <c r="I8" s="80" t="s">
        <v>195</v>
      </c>
      <c r="J8" s="80" t="s">
        <v>196</v>
      </c>
      <c r="K8" s="80" t="s">
        <v>197</v>
      </c>
      <c r="L8" s="80" t="s">
        <v>133</v>
      </c>
    </row>
    <row r="9" spans="2:12" ht="15.75" customHeight="1" x14ac:dyDescent="0.15">
      <c r="B9" s="254"/>
      <c r="C9" s="79">
        <v>5</v>
      </c>
      <c r="D9" s="80" t="s">
        <v>161</v>
      </c>
      <c r="E9" s="80" t="s">
        <v>118</v>
      </c>
      <c r="F9" s="80" t="s">
        <v>162</v>
      </c>
      <c r="G9" s="80" t="s">
        <v>163</v>
      </c>
      <c r="H9" s="80" t="s">
        <v>164</v>
      </c>
      <c r="I9" s="80" t="s">
        <v>198</v>
      </c>
      <c r="J9" s="80" t="s">
        <v>199</v>
      </c>
      <c r="K9" s="80" t="s">
        <v>200</v>
      </c>
      <c r="L9" s="80" t="s">
        <v>118</v>
      </c>
    </row>
    <row r="10" spans="2:12" ht="15.75" customHeight="1" x14ac:dyDescent="0.15">
      <c r="B10" s="254"/>
      <c r="C10" s="79">
        <v>4</v>
      </c>
      <c r="D10" s="80" t="s">
        <v>165</v>
      </c>
      <c r="E10" s="80" t="s">
        <v>121</v>
      </c>
      <c r="F10" s="80" t="s">
        <v>137</v>
      </c>
      <c r="G10" s="80" t="s">
        <v>166</v>
      </c>
      <c r="H10" s="80" t="s">
        <v>167</v>
      </c>
      <c r="I10" s="80" t="s">
        <v>201</v>
      </c>
      <c r="J10" s="80" t="s">
        <v>202</v>
      </c>
      <c r="K10" s="80" t="s">
        <v>203</v>
      </c>
      <c r="L10" s="80" t="s">
        <v>121</v>
      </c>
    </row>
    <row r="11" spans="2:12" ht="15.75" customHeight="1" x14ac:dyDescent="0.15">
      <c r="B11" s="254"/>
      <c r="C11" s="79">
        <v>3</v>
      </c>
      <c r="D11" s="80" t="s">
        <v>168</v>
      </c>
      <c r="E11" s="80" t="s">
        <v>123</v>
      </c>
      <c r="F11" s="80" t="s">
        <v>165</v>
      </c>
      <c r="G11" s="80" t="s">
        <v>125</v>
      </c>
      <c r="H11" s="80" t="s">
        <v>169</v>
      </c>
      <c r="I11" s="80" t="s">
        <v>204</v>
      </c>
      <c r="J11" s="80" t="s">
        <v>205</v>
      </c>
      <c r="K11" s="80" t="s">
        <v>206</v>
      </c>
      <c r="L11" s="80" t="s">
        <v>123</v>
      </c>
    </row>
    <row r="12" spans="2:12" ht="15.75" customHeight="1" x14ac:dyDescent="0.15">
      <c r="B12" s="254"/>
      <c r="C12" s="79">
        <v>2</v>
      </c>
      <c r="D12" s="80" t="s">
        <v>170</v>
      </c>
      <c r="E12" s="80" t="s">
        <v>127</v>
      </c>
      <c r="F12" s="80" t="s">
        <v>171</v>
      </c>
      <c r="G12" s="80" t="s">
        <v>172</v>
      </c>
      <c r="H12" s="80" t="s">
        <v>173</v>
      </c>
      <c r="I12" s="80" t="s">
        <v>207</v>
      </c>
      <c r="J12" s="80" t="s">
        <v>208</v>
      </c>
      <c r="K12" s="80" t="s">
        <v>209</v>
      </c>
      <c r="L12" s="80" t="s">
        <v>127</v>
      </c>
    </row>
    <row r="13" spans="2:12" ht="15.75" customHeight="1" x14ac:dyDescent="0.15">
      <c r="B13" s="254"/>
      <c r="C13" s="79">
        <v>1</v>
      </c>
      <c r="D13" s="80" t="s">
        <v>174</v>
      </c>
      <c r="E13" s="80" t="s">
        <v>175</v>
      </c>
      <c r="F13" s="80" t="s">
        <v>176</v>
      </c>
      <c r="G13" s="80" t="s">
        <v>177</v>
      </c>
      <c r="H13" s="80" t="s">
        <v>178</v>
      </c>
      <c r="I13" s="80" t="s">
        <v>210</v>
      </c>
      <c r="J13" s="80" t="s">
        <v>211</v>
      </c>
      <c r="K13" s="80" t="s">
        <v>212</v>
      </c>
      <c r="L13" s="80" t="s">
        <v>213</v>
      </c>
    </row>
    <row r="14" spans="2:12" s="17" customFormat="1" ht="29.25" customHeight="1" x14ac:dyDescent="0.15">
      <c r="B14" s="255" t="s">
        <v>117</v>
      </c>
      <c r="C14" s="81" t="s">
        <v>102</v>
      </c>
      <c r="D14" s="82" t="s">
        <v>103</v>
      </c>
      <c r="E14" s="82" t="s">
        <v>67</v>
      </c>
      <c r="F14" s="82" t="s">
        <v>68</v>
      </c>
      <c r="G14" s="82" t="s">
        <v>69</v>
      </c>
      <c r="H14" s="83" t="s">
        <v>3</v>
      </c>
      <c r="I14" s="83" t="s">
        <v>309</v>
      </c>
      <c r="J14" s="83" t="s">
        <v>104</v>
      </c>
      <c r="K14" s="83" t="s">
        <v>72</v>
      </c>
      <c r="L14" s="83" t="s">
        <v>215</v>
      </c>
    </row>
    <row r="15" spans="2:12" ht="15.75" customHeight="1" x14ac:dyDescent="0.15">
      <c r="B15" s="255"/>
      <c r="C15" s="81">
        <v>10</v>
      </c>
      <c r="D15" s="84" t="s">
        <v>216</v>
      </c>
      <c r="E15" s="84" t="s">
        <v>217</v>
      </c>
      <c r="F15" s="84" t="s">
        <v>218</v>
      </c>
      <c r="G15" s="84" t="s">
        <v>219</v>
      </c>
      <c r="H15" s="84" t="s">
        <v>220</v>
      </c>
      <c r="I15" s="84" t="s">
        <v>251</v>
      </c>
      <c r="J15" s="84" t="s">
        <v>252</v>
      </c>
      <c r="K15" s="84" t="s">
        <v>253</v>
      </c>
      <c r="L15" s="84" t="s">
        <v>254</v>
      </c>
    </row>
    <row r="16" spans="2:12" ht="15.75" customHeight="1" x14ac:dyDescent="0.15">
      <c r="B16" s="255"/>
      <c r="C16" s="81">
        <v>9</v>
      </c>
      <c r="D16" s="84" t="s">
        <v>221</v>
      </c>
      <c r="E16" s="84" t="s">
        <v>222</v>
      </c>
      <c r="F16" s="84" t="s">
        <v>223</v>
      </c>
      <c r="G16" s="84" t="s">
        <v>224</v>
      </c>
      <c r="H16" s="84" t="s">
        <v>225</v>
      </c>
      <c r="I16" s="84" t="s">
        <v>255</v>
      </c>
      <c r="J16" s="84" t="s">
        <v>256</v>
      </c>
      <c r="K16" s="84" t="s">
        <v>257</v>
      </c>
      <c r="L16" s="84" t="s">
        <v>107</v>
      </c>
    </row>
    <row r="17" spans="2:12" ht="15.75" customHeight="1" x14ac:dyDescent="0.15">
      <c r="B17" s="255"/>
      <c r="C17" s="81">
        <v>8</v>
      </c>
      <c r="D17" s="84" t="s">
        <v>151</v>
      </c>
      <c r="E17" s="84" t="s">
        <v>105</v>
      </c>
      <c r="F17" s="84" t="s">
        <v>226</v>
      </c>
      <c r="G17" s="84" t="s">
        <v>227</v>
      </c>
      <c r="H17" s="84" t="s">
        <v>228</v>
      </c>
      <c r="I17" s="84" t="s">
        <v>258</v>
      </c>
      <c r="J17" s="84" t="s">
        <v>259</v>
      </c>
      <c r="K17" s="84" t="s">
        <v>260</v>
      </c>
      <c r="L17" s="84" t="s">
        <v>111</v>
      </c>
    </row>
    <row r="18" spans="2:12" ht="15.75" customHeight="1" x14ac:dyDescent="0.15">
      <c r="B18" s="255"/>
      <c r="C18" s="81">
        <v>7</v>
      </c>
      <c r="D18" s="84" t="s">
        <v>229</v>
      </c>
      <c r="E18" s="84" t="s">
        <v>107</v>
      </c>
      <c r="F18" s="84" t="s">
        <v>230</v>
      </c>
      <c r="G18" s="84" t="s">
        <v>231</v>
      </c>
      <c r="H18" s="84" t="s">
        <v>232</v>
      </c>
      <c r="I18" s="84" t="s">
        <v>120</v>
      </c>
      <c r="J18" s="84" t="s">
        <v>261</v>
      </c>
      <c r="K18" s="84" t="s">
        <v>262</v>
      </c>
      <c r="L18" s="84" t="s">
        <v>124</v>
      </c>
    </row>
    <row r="19" spans="2:12" ht="15.75" customHeight="1" x14ac:dyDescent="0.15">
      <c r="B19" s="255"/>
      <c r="C19" s="81">
        <v>6</v>
      </c>
      <c r="D19" s="84" t="s">
        <v>133</v>
      </c>
      <c r="E19" s="84" t="s">
        <v>111</v>
      </c>
      <c r="F19" s="84" t="s">
        <v>233</v>
      </c>
      <c r="G19" s="84" t="s">
        <v>234</v>
      </c>
      <c r="H19" s="84" t="s">
        <v>235</v>
      </c>
      <c r="I19" s="84" t="s">
        <v>122</v>
      </c>
      <c r="J19" s="84" t="s">
        <v>263</v>
      </c>
      <c r="K19" s="84" t="s">
        <v>264</v>
      </c>
      <c r="L19" s="84" t="s">
        <v>128</v>
      </c>
    </row>
    <row r="20" spans="2:12" ht="15.75" customHeight="1" x14ac:dyDescent="0.15">
      <c r="B20" s="255"/>
      <c r="C20" s="81">
        <v>5</v>
      </c>
      <c r="D20" s="84" t="s">
        <v>236</v>
      </c>
      <c r="E20" s="84" t="s">
        <v>113</v>
      </c>
      <c r="F20" s="84" t="s">
        <v>237</v>
      </c>
      <c r="G20" s="84" t="s">
        <v>238</v>
      </c>
      <c r="H20" s="84" t="s">
        <v>239</v>
      </c>
      <c r="I20" s="84" t="s">
        <v>126</v>
      </c>
      <c r="J20" s="84" t="s">
        <v>265</v>
      </c>
      <c r="K20" s="84" t="s">
        <v>266</v>
      </c>
      <c r="L20" s="84" t="s">
        <v>131</v>
      </c>
    </row>
    <row r="21" spans="2:12" ht="15.75" customHeight="1" x14ac:dyDescent="0.15">
      <c r="B21" s="255"/>
      <c r="C21" s="81">
        <v>4</v>
      </c>
      <c r="D21" s="84" t="s">
        <v>107</v>
      </c>
      <c r="E21" s="84" t="s">
        <v>240</v>
      </c>
      <c r="F21" s="84" t="s">
        <v>106</v>
      </c>
      <c r="G21" s="84" t="s">
        <v>241</v>
      </c>
      <c r="H21" s="84" t="s">
        <v>242</v>
      </c>
      <c r="I21" s="84" t="s">
        <v>267</v>
      </c>
      <c r="J21" s="84" t="s">
        <v>268</v>
      </c>
      <c r="K21" s="84" t="s">
        <v>269</v>
      </c>
      <c r="L21" s="84">
        <v>11</v>
      </c>
    </row>
    <row r="22" spans="2:12" ht="15.75" customHeight="1" x14ac:dyDescent="0.15">
      <c r="B22" s="255"/>
      <c r="C22" s="81">
        <v>3</v>
      </c>
      <c r="D22" s="84" t="s">
        <v>110</v>
      </c>
      <c r="E22" s="84" t="s">
        <v>130</v>
      </c>
      <c r="F22" s="84" t="s">
        <v>109</v>
      </c>
      <c r="G22" s="84" t="s">
        <v>129</v>
      </c>
      <c r="H22" s="84" t="s">
        <v>243</v>
      </c>
      <c r="I22" s="84" t="s">
        <v>270</v>
      </c>
      <c r="J22" s="84" t="s">
        <v>314</v>
      </c>
      <c r="K22" s="84" t="s">
        <v>272</v>
      </c>
      <c r="L22" s="84">
        <v>10</v>
      </c>
    </row>
    <row r="23" spans="2:12" ht="15.75" customHeight="1" x14ac:dyDescent="0.15">
      <c r="B23" s="255"/>
      <c r="C23" s="81">
        <v>2</v>
      </c>
      <c r="D23" s="84" t="s">
        <v>112</v>
      </c>
      <c r="E23" s="84" t="s">
        <v>132</v>
      </c>
      <c r="F23" s="84" t="s">
        <v>244</v>
      </c>
      <c r="G23" s="84" t="s">
        <v>245</v>
      </c>
      <c r="H23" s="84" t="s">
        <v>246</v>
      </c>
      <c r="I23" s="84" t="s">
        <v>273</v>
      </c>
      <c r="J23" s="84" t="s">
        <v>274</v>
      </c>
      <c r="K23" s="84" t="s">
        <v>275</v>
      </c>
      <c r="L23" s="84" t="s">
        <v>115</v>
      </c>
    </row>
    <row r="24" spans="2:12" ht="15.75" customHeight="1" x14ac:dyDescent="0.15">
      <c r="B24" s="255"/>
      <c r="C24" s="81">
        <v>1</v>
      </c>
      <c r="D24" s="84" t="s">
        <v>247</v>
      </c>
      <c r="E24" s="84" t="s">
        <v>116</v>
      </c>
      <c r="F24" s="84" t="s">
        <v>248</v>
      </c>
      <c r="G24" s="84" t="s">
        <v>249</v>
      </c>
      <c r="H24" s="84" t="s">
        <v>250</v>
      </c>
      <c r="I24" s="84" t="s">
        <v>276</v>
      </c>
      <c r="J24" s="84" t="s">
        <v>277</v>
      </c>
      <c r="K24" s="84" t="s">
        <v>278</v>
      </c>
      <c r="L24" s="84" t="s">
        <v>279</v>
      </c>
    </row>
    <row r="26" spans="2:12" ht="15.75" customHeight="1" x14ac:dyDescent="0.15">
      <c r="C26"/>
      <c r="D26" s="256" t="s">
        <v>134</v>
      </c>
      <c r="E26" s="256"/>
      <c r="F26" s="256"/>
      <c r="G26" s="256"/>
      <c r="H26" s="256"/>
      <c r="I26" s="256"/>
      <c r="J26" s="256"/>
      <c r="L26" s="85"/>
    </row>
    <row r="27" spans="2:12" ht="15.75" customHeight="1" x14ac:dyDescent="0.15">
      <c r="C27"/>
      <c r="D27" s="86" t="s">
        <v>135</v>
      </c>
      <c r="E27" s="86" t="s">
        <v>302</v>
      </c>
      <c r="F27" s="86" t="s">
        <v>303</v>
      </c>
      <c r="G27" s="86" t="s">
        <v>304</v>
      </c>
      <c r="H27" s="86" t="s">
        <v>305</v>
      </c>
      <c r="I27" s="86" t="s">
        <v>306</v>
      </c>
      <c r="J27" s="86" t="s">
        <v>307</v>
      </c>
      <c r="L27" s="85"/>
    </row>
    <row r="28" spans="2:12" ht="15.75" customHeight="1" x14ac:dyDescent="0.15">
      <c r="C28"/>
      <c r="D28" s="87" t="s">
        <v>40</v>
      </c>
      <c r="E28" s="87" t="s">
        <v>280</v>
      </c>
      <c r="F28" s="87" t="s">
        <v>281</v>
      </c>
      <c r="G28" s="87" t="s">
        <v>282</v>
      </c>
      <c r="H28" s="87" t="s">
        <v>283</v>
      </c>
      <c r="I28" s="87" t="s">
        <v>284</v>
      </c>
      <c r="J28" s="87" t="s">
        <v>136</v>
      </c>
      <c r="L28" s="85"/>
    </row>
    <row r="29" spans="2:12" ht="15.75" customHeight="1" x14ac:dyDescent="0.15">
      <c r="C29"/>
      <c r="D29" s="87" t="s">
        <v>41</v>
      </c>
      <c r="E29" s="87" t="s">
        <v>285</v>
      </c>
      <c r="F29" s="87" t="s">
        <v>286</v>
      </c>
      <c r="G29" s="87" t="s">
        <v>287</v>
      </c>
      <c r="H29" s="87" t="s">
        <v>288</v>
      </c>
      <c r="I29" s="87" t="s">
        <v>289</v>
      </c>
      <c r="J29" s="87" t="s">
        <v>290</v>
      </c>
      <c r="L29" s="85"/>
    </row>
    <row r="30" spans="2:12" ht="15.75" customHeight="1" x14ac:dyDescent="0.15">
      <c r="C30"/>
      <c r="D30" s="87" t="s">
        <v>42</v>
      </c>
      <c r="E30" s="87" t="s">
        <v>291</v>
      </c>
      <c r="F30" s="87" t="s">
        <v>292</v>
      </c>
      <c r="G30" s="87" t="s">
        <v>285</v>
      </c>
      <c r="H30" s="87" t="s">
        <v>293</v>
      </c>
      <c r="I30" s="87" t="s">
        <v>294</v>
      </c>
      <c r="J30" s="87" t="s">
        <v>295</v>
      </c>
      <c r="L30" s="85"/>
    </row>
    <row r="31" spans="2:12" ht="15.75" customHeight="1" x14ac:dyDescent="0.15">
      <c r="C31"/>
      <c r="D31" s="87" t="s">
        <v>43</v>
      </c>
      <c r="E31" s="87" t="s">
        <v>296</v>
      </c>
      <c r="F31" s="87" t="s">
        <v>297</v>
      </c>
      <c r="G31" s="87" t="s">
        <v>298</v>
      </c>
      <c r="H31" s="87" t="s">
        <v>298</v>
      </c>
      <c r="I31" s="87" t="s">
        <v>299</v>
      </c>
      <c r="J31" s="87" t="s">
        <v>300</v>
      </c>
      <c r="L31" s="85"/>
    </row>
    <row r="32" spans="2:12" ht="15.75" customHeight="1" x14ac:dyDescent="0.15">
      <c r="C32"/>
      <c r="D32" s="87" t="s">
        <v>44</v>
      </c>
      <c r="E32" s="87" t="s">
        <v>138</v>
      </c>
      <c r="F32" s="87" t="s">
        <v>139</v>
      </c>
      <c r="G32" s="87" t="s">
        <v>301</v>
      </c>
      <c r="H32" s="87" t="s">
        <v>301</v>
      </c>
      <c r="I32" s="87" t="s">
        <v>301</v>
      </c>
      <c r="J32" s="87" t="s">
        <v>301</v>
      </c>
      <c r="L32" s="85"/>
    </row>
  </sheetData>
  <sheetProtection password="CC57" sheet="1" objects="1" scenarios="1"/>
  <mergeCells count="4">
    <mergeCell ref="B2:L2"/>
    <mergeCell ref="B3:B13"/>
    <mergeCell ref="B14:B24"/>
    <mergeCell ref="D26:J26"/>
  </mergeCells>
  <phoneticPr fontId="4"/>
  <pageMargins left="0.75" right="0.75" top="0.56999999999999995" bottom="0.36"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19"/>
  <sheetViews>
    <sheetView showGridLines="0" zoomScale="90" zoomScaleNormal="90" workbookViewId="0">
      <selection activeCell="W21" sqref="W21"/>
    </sheetView>
  </sheetViews>
  <sheetFormatPr defaultRowHeight="13.5" x14ac:dyDescent="0.15"/>
  <cols>
    <col min="1" max="1" width="6.25" customWidth="1"/>
    <col min="2" max="4" width="7.125" customWidth="1"/>
    <col min="5" max="5" width="6.75" customWidth="1"/>
    <col min="6" max="6" width="7.125" customWidth="1"/>
    <col min="7" max="7" width="6.75" customWidth="1"/>
    <col min="8" max="8" width="7.125" customWidth="1"/>
    <col min="9" max="9" width="6.75" customWidth="1"/>
    <col min="10" max="10" width="7.125" customWidth="1"/>
    <col min="11" max="11" width="6.75" customWidth="1"/>
    <col min="12" max="12" width="7.125" customWidth="1"/>
    <col min="13" max="13" width="6.75" customWidth="1"/>
    <col min="14" max="14" width="7.125" customWidth="1"/>
    <col min="15" max="15" width="6.75" customWidth="1"/>
    <col min="16" max="16" width="7.125" customWidth="1"/>
    <col min="17" max="17" width="6.75" customWidth="1"/>
    <col min="18" max="18" width="7.125" customWidth="1"/>
    <col min="19" max="19" width="6.75" customWidth="1"/>
    <col min="20" max="20" width="7.125" customWidth="1"/>
    <col min="21" max="21" width="6.75" customWidth="1"/>
  </cols>
  <sheetData>
    <row r="1" spans="1:25" ht="17.25" customHeight="1" x14ac:dyDescent="0.15">
      <c r="A1" s="8" t="s">
        <v>348</v>
      </c>
      <c r="B1" s="8"/>
      <c r="C1" s="8"/>
      <c r="D1" s="8"/>
      <c r="E1" s="8"/>
    </row>
    <row r="2" spans="1:25" ht="7.5" customHeight="1" x14ac:dyDescent="0.15">
      <c r="A2" s="64"/>
      <c r="G2" s="53"/>
      <c r="H2" s="257"/>
      <c r="I2" s="257"/>
      <c r="J2" s="257"/>
    </row>
    <row r="3" spans="1:25" ht="4.5" customHeight="1" x14ac:dyDescent="0.15">
      <c r="E3" s="53"/>
    </row>
    <row r="4" spans="1:25" ht="18.75" customHeight="1" x14ac:dyDescent="0.15">
      <c r="A4" s="181"/>
      <c r="B4" s="181" t="s">
        <v>85</v>
      </c>
      <c r="C4" s="181" t="s">
        <v>86</v>
      </c>
      <c r="D4" s="258" t="s">
        <v>20</v>
      </c>
      <c r="E4" s="258"/>
      <c r="F4" s="258" t="s">
        <v>21</v>
      </c>
      <c r="G4" s="258"/>
      <c r="H4" s="258" t="s">
        <v>22</v>
      </c>
      <c r="I4" s="258"/>
      <c r="J4" s="258" t="s">
        <v>23</v>
      </c>
      <c r="K4" s="258"/>
      <c r="L4" s="258" t="s">
        <v>24</v>
      </c>
      <c r="M4" s="258"/>
      <c r="N4" s="258" t="s">
        <v>25</v>
      </c>
      <c r="O4" s="258"/>
      <c r="P4" s="258" t="s">
        <v>26</v>
      </c>
      <c r="Q4" s="258"/>
      <c r="R4" s="258" t="s">
        <v>27</v>
      </c>
      <c r="S4" s="258"/>
      <c r="T4" s="258" t="s">
        <v>28</v>
      </c>
      <c r="U4" s="258"/>
    </row>
    <row r="5" spans="1:25" ht="18.75" customHeight="1" x14ac:dyDescent="0.15">
      <c r="A5" s="182" t="s">
        <v>29</v>
      </c>
      <c r="B5" s="182" t="s">
        <v>458</v>
      </c>
      <c r="C5" s="182" t="s">
        <v>458</v>
      </c>
      <c r="D5" s="183" t="s">
        <v>458</v>
      </c>
      <c r="E5" s="180" t="s">
        <v>31</v>
      </c>
      <c r="F5" s="183" t="s">
        <v>458</v>
      </c>
      <c r="G5" s="180" t="s">
        <v>31</v>
      </c>
      <c r="H5" s="183" t="s">
        <v>458</v>
      </c>
      <c r="I5" s="180" t="s">
        <v>31</v>
      </c>
      <c r="J5" s="183" t="s">
        <v>458</v>
      </c>
      <c r="K5" s="180" t="s">
        <v>31</v>
      </c>
      <c r="L5" s="183" t="s">
        <v>458</v>
      </c>
      <c r="M5" s="180" t="s">
        <v>31</v>
      </c>
      <c r="N5" s="183" t="s">
        <v>458</v>
      </c>
      <c r="O5" s="180" t="s">
        <v>31</v>
      </c>
      <c r="P5" s="183" t="s">
        <v>458</v>
      </c>
      <c r="Q5" s="180" t="s">
        <v>31</v>
      </c>
      <c r="R5" s="183" t="s">
        <v>458</v>
      </c>
      <c r="S5" s="180" t="s">
        <v>31</v>
      </c>
      <c r="T5" s="183" t="s">
        <v>458</v>
      </c>
      <c r="U5" s="180" t="s">
        <v>31</v>
      </c>
    </row>
    <row r="6" spans="1:25" ht="18.75" customHeight="1" x14ac:dyDescent="0.15">
      <c r="A6" s="182" t="s">
        <v>74</v>
      </c>
      <c r="B6" s="184">
        <v>152.77000000000001</v>
      </c>
      <c r="C6" s="184">
        <v>44.65</v>
      </c>
      <c r="D6" s="185">
        <v>24.29</v>
      </c>
      <c r="E6" s="186">
        <v>6.72</v>
      </c>
      <c r="F6" s="185">
        <v>23.65</v>
      </c>
      <c r="G6" s="186">
        <v>6.02</v>
      </c>
      <c r="H6" s="185">
        <v>38.619999999999997</v>
      </c>
      <c r="I6" s="186">
        <v>9.27</v>
      </c>
      <c r="J6" s="187">
        <v>48.96</v>
      </c>
      <c r="K6" s="188">
        <v>7.82</v>
      </c>
      <c r="L6" s="189">
        <v>429.24</v>
      </c>
      <c r="M6" s="190">
        <v>74.17</v>
      </c>
      <c r="N6" s="187">
        <v>70.36</v>
      </c>
      <c r="O6" s="188">
        <v>23.7</v>
      </c>
      <c r="P6" s="185">
        <v>8.61</v>
      </c>
      <c r="Q6" s="186">
        <v>2.78</v>
      </c>
      <c r="R6" s="189">
        <v>180.11</v>
      </c>
      <c r="S6" s="190">
        <v>24.99</v>
      </c>
      <c r="T6" s="189">
        <v>18.02</v>
      </c>
      <c r="U6" s="190">
        <v>5.86</v>
      </c>
    </row>
    <row r="7" spans="1:25" ht="18.75" customHeight="1" x14ac:dyDescent="0.15">
      <c r="A7" s="182" t="s">
        <v>80</v>
      </c>
      <c r="B7" s="184">
        <v>159.88999999999999</v>
      </c>
      <c r="C7" s="184">
        <v>49.45</v>
      </c>
      <c r="D7" s="185">
        <v>29.7</v>
      </c>
      <c r="E7" s="186">
        <v>7.47</v>
      </c>
      <c r="F7" s="185">
        <v>26.98</v>
      </c>
      <c r="G7" s="186">
        <v>6.23</v>
      </c>
      <c r="H7" s="185">
        <v>43.04</v>
      </c>
      <c r="I7" s="186">
        <v>9.99</v>
      </c>
      <c r="J7" s="187">
        <v>52.88</v>
      </c>
      <c r="K7" s="188">
        <v>8.0299999999999994</v>
      </c>
      <c r="L7" s="189">
        <v>390.34</v>
      </c>
      <c r="M7" s="190">
        <v>65.61</v>
      </c>
      <c r="N7" s="187">
        <v>87.61</v>
      </c>
      <c r="O7" s="188">
        <v>24.92</v>
      </c>
      <c r="P7" s="185">
        <v>8.01</v>
      </c>
      <c r="Q7" s="186">
        <v>2.85</v>
      </c>
      <c r="R7" s="189">
        <v>198.04</v>
      </c>
      <c r="S7" s="190">
        <v>25.49</v>
      </c>
      <c r="T7" s="189">
        <v>20.93</v>
      </c>
      <c r="U7" s="190">
        <v>6.15</v>
      </c>
    </row>
    <row r="8" spans="1:25" ht="18.75" customHeight="1" x14ac:dyDescent="0.15">
      <c r="A8" s="182" t="s">
        <v>81</v>
      </c>
      <c r="B8" s="184">
        <v>165.03</v>
      </c>
      <c r="C8" s="184">
        <v>54.24</v>
      </c>
      <c r="D8" s="185">
        <v>34.549999999999997</v>
      </c>
      <c r="E8" s="186">
        <v>7.65</v>
      </c>
      <c r="F8" s="185">
        <v>29.35</v>
      </c>
      <c r="G8" s="186">
        <v>6.57</v>
      </c>
      <c r="H8" s="185">
        <v>47.01</v>
      </c>
      <c r="I8" s="186">
        <v>10.68</v>
      </c>
      <c r="J8" s="187">
        <v>56.06</v>
      </c>
      <c r="K8" s="188">
        <v>8.44</v>
      </c>
      <c r="L8" s="189">
        <v>373.82</v>
      </c>
      <c r="M8" s="190">
        <v>63.38</v>
      </c>
      <c r="N8" s="187">
        <v>95.98</v>
      </c>
      <c r="O8" s="188">
        <v>24.13</v>
      </c>
      <c r="P8" s="185">
        <v>7.61</v>
      </c>
      <c r="Q8" s="186">
        <v>2.84</v>
      </c>
      <c r="R8" s="189">
        <v>211.79</v>
      </c>
      <c r="S8" s="190">
        <v>24.71</v>
      </c>
      <c r="T8" s="189">
        <v>23.43</v>
      </c>
      <c r="U8" s="190">
        <v>6.66</v>
      </c>
    </row>
    <row r="9" spans="1:25" ht="18.75" customHeight="1" x14ac:dyDescent="0.15">
      <c r="A9" s="182" t="s">
        <v>82</v>
      </c>
      <c r="B9" s="184">
        <v>167.86</v>
      </c>
      <c r="C9" s="184">
        <v>58.68</v>
      </c>
      <c r="D9" s="185">
        <v>36.380000000000003</v>
      </c>
      <c r="E9" s="186">
        <v>6.54</v>
      </c>
      <c r="F9" s="185">
        <v>29.11</v>
      </c>
      <c r="G9" s="186">
        <v>5.39</v>
      </c>
      <c r="H9" s="185">
        <v>47.49</v>
      </c>
      <c r="I9" s="186">
        <v>10.14</v>
      </c>
      <c r="J9" s="187">
        <v>55.79</v>
      </c>
      <c r="K9" s="188">
        <v>6.3</v>
      </c>
      <c r="L9" s="189">
        <v>382.6</v>
      </c>
      <c r="M9" s="190">
        <v>59.66</v>
      </c>
      <c r="N9" s="187">
        <v>86.55</v>
      </c>
      <c r="O9" s="188">
        <v>22.17</v>
      </c>
      <c r="P9" s="185">
        <v>7.54</v>
      </c>
      <c r="Q9" s="186">
        <v>0.62</v>
      </c>
      <c r="R9" s="189">
        <v>215.41</v>
      </c>
      <c r="S9" s="190">
        <v>22.69</v>
      </c>
      <c r="T9" s="189">
        <v>23.78</v>
      </c>
      <c r="U9" s="190">
        <v>5.5</v>
      </c>
    </row>
    <row r="10" spans="1:25" ht="18.75" customHeight="1" x14ac:dyDescent="0.15">
      <c r="A10" s="182" t="s">
        <v>83</v>
      </c>
      <c r="B10" s="184">
        <v>169.33</v>
      </c>
      <c r="C10" s="184">
        <v>60.57</v>
      </c>
      <c r="D10" s="185">
        <v>39.130000000000003</v>
      </c>
      <c r="E10" s="186">
        <v>6.73</v>
      </c>
      <c r="F10" s="185">
        <v>31.59</v>
      </c>
      <c r="G10" s="186">
        <v>5.49</v>
      </c>
      <c r="H10" s="185">
        <v>50.31</v>
      </c>
      <c r="I10" s="186">
        <v>10.19</v>
      </c>
      <c r="J10" s="187">
        <v>57.75</v>
      </c>
      <c r="K10" s="188">
        <v>6.24</v>
      </c>
      <c r="L10" s="189">
        <v>373.75</v>
      </c>
      <c r="M10" s="190">
        <v>59.69</v>
      </c>
      <c r="N10" s="187">
        <v>94.26</v>
      </c>
      <c r="O10" s="188">
        <v>22.65</v>
      </c>
      <c r="P10" s="185">
        <v>7.35</v>
      </c>
      <c r="Q10" s="186">
        <v>0.61</v>
      </c>
      <c r="R10" s="189">
        <v>223.24</v>
      </c>
      <c r="S10" s="190">
        <v>22.24</v>
      </c>
      <c r="T10" s="189">
        <v>25.62</v>
      </c>
      <c r="U10" s="190">
        <v>5.92</v>
      </c>
    </row>
    <row r="11" spans="1:25" ht="18.75" customHeight="1" thickBot="1" x14ac:dyDescent="0.2">
      <c r="A11" s="191" t="s">
        <v>84</v>
      </c>
      <c r="B11" s="192">
        <v>170.08</v>
      </c>
      <c r="C11" s="192">
        <v>62.46</v>
      </c>
      <c r="D11" s="193">
        <v>41</v>
      </c>
      <c r="E11" s="194">
        <v>6.85</v>
      </c>
      <c r="F11" s="193">
        <v>32.86</v>
      </c>
      <c r="G11" s="194">
        <v>5.64</v>
      </c>
      <c r="H11" s="193">
        <v>52.39</v>
      </c>
      <c r="I11" s="194">
        <v>10.36</v>
      </c>
      <c r="J11" s="195">
        <v>59.02</v>
      </c>
      <c r="K11" s="196">
        <v>6.32</v>
      </c>
      <c r="L11" s="197">
        <v>369.45</v>
      </c>
      <c r="M11" s="198">
        <v>58.38</v>
      </c>
      <c r="N11" s="195">
        <v>93.43</v>
      </c>
      <c r="O11" s="196">
        <v>22.93</v>
      </c>
      <c r="P11" s="193">
        <v>7.24</v>
      </c>
      <c r="Q11" s="194">
        <v>0.56999999999999995</v>
      </c>
      <c r="R11" s="197">
        <v>228.63</v>
      </c>
      <c r="S11" s="198">
        <v>22.04</v>
      </c>
      <c r="T11" s="197">
        <v>26.87</v>
      </c>
      <c r="U11" s="198">
        <v>6.09</v>
      </c>
    </row>
    <row r="12" spans="1:25" ht="18.75" customHeight="1" thickTop="1" x14ac:dyDescent="0.15">
      <c r="A12" s="199" t="s">
        <v>32</v>
      </c>
      <c r="B12" s="200" t="s">
        <v>458</v>
      </c>
      <c r="C12" s="200" t="s">
        <v>458</v>
      </c>
      <c r="D12" s="201" t="s">
        <v>458</v>
      </c>
      <c r="E12" s="171" t="s">
        <v>31</v>
      </c>
      <c r="F12" s="201" t="s">
        <v>458</v>
      </c>
      <c r="G12" s="171" t="s">
        <v>31</v>
      </c>
      <c r="H12" s="201" t="s">
        <v>458</v>
      </c>
      <c r="I12" s="171" t="s">
        <v>31</v>
      </c>
      <c r="J12" s="201" t="s">
        <v>458</v>
      </c>
      <c r="K12" s="171" t="s">
        <v>31</v>
      </c>
      <c r="L12" s="201" t="s">
        <v>458</v>
      </c>
      <c r="M12" s="171" t="s">
        <v>31</v>
      </c>
      <c r="N12" s="201" t="s">
        <v>458</v>
      </c>
      <c r="O12" s="171" t="s">
        <v>31</v>
      </c>
      <c r="P12" s="201" t="s">
        <v>458</v>
      </c>
      <c r="Q12" s="171" t="s">
        <v>31</v>
      </c>
      <c r="R12" s="201" t="s">
        <v>458</v>
      </c>
      <c r="S12" s="171" t="s">
        <v>31</v>
      </c>
      <c r="T12" s="201" t="s">
        <v>458</v>
      </c>
      <c r="U12" s="171" t="s">
        <v>31</v>
      </c>
      <c r="Y12" s="37"/>
    </row>
    <row r="13" spans="1:25" ht="18.75" customHeight="1" x14ac:dyDescent="0.15">
      <c r="A13" s="202" t="s">
        <v>74</v>
      </c>
      <c r="B13" s="203">
        <v>151.78</v>
      </c>
      <c r="C13" s="203">
        <v>44.48</v>
      </c>
      <c r="D13" s="204">
        <v>22.15</v>
      </c>
      <c r="E13" s="205">
        <v>5.46</v>
      </c>
      <c r="F13" s="204">
        <v>20.61</v>
      </c>
      <c r="G13" s="205">
        <v>5.79</v>
      </c>
      <c r="H13" s="204">
        <v>41.6</v>
      </c>
      <c r="I13" s="205">
        <v>9.18</v>
      </c>
      <c r="J13" s="204">
        <v>45.57</v>
      </c>
      <c r="K13" s="205">
        <v>7.04</v>
      </c>
      <c r="L13" s="206">
        <v>298.48</v>
      </c>
      <c r="M13" s="207">
        <v>48.89</v>
      </c>
      <c r="N13" s="204">
        <v>54.35</v>
      </c>
      <c r="O13" s="205">
        <v>19.27</v>
      </c>
      <c r="P13" s="204">
        <v>9.07</v>
      </c>
      <c r="Q13" s="205">
        <v>3.26</v>
      </c>
      <c r="R13" s="208">
        <v>164.85</v>
      </c>
      <c r="S13" s="209">
        <v>22.24</v>
      </c>
      <c r="T13" s="206">
        <v>12.14</v>
      </c>
      <c r="U13" s="207">
        <v>5.38</v>
      </c>
      <c r="Y13" s="37"/>
    </row>
    <row r="14" spans="1:25" ht="18.75" customHeight="1" x14ac:dyDescent="0.15">
      <c r="A14" s="202" t="s">
        <v>80</v>
      </c>
      <c r="B14" s="203">
        <v>154.62</v>
      </c>
      <c r="C14" s="203">
        <v>47.69</v>
      </c>
      <c r="D14" s="204">
        <v>24.28</v>
      </c>
      <c r="E14" s="205">
        <v>5.55</v>
      </c>
      <c r="F14" s="204">
        <v>23.04</v>
      </c>
      <c r="G14" s="205">
        <v>6.06</v>
      </c>
      <c r="H14" s="204">
        <v>44.21</v>
      </c>
      <c r="I14" s="205">
        <v>9.5399999999999991</v>
      </c>
      <c r="J14" s="204">
        <v>47.79</v>
      </c>
      <c r="K14" s="205">
        <v>7.35</v>
      </c>
      <c r="L14" s="206">
        <v>286.63</v>
      </c>
      <c r="M14" s="207">
        <v>48.51</v>
      </c>
      <c r="N14" s="204">
        <v>61.92</v>
      </c>
      <c r="O14" s="205">
        <v>21.25</v>
      </c>
      <c r="P14" s="204">
        <v>8.81</v>
      </c>
      <c r="Q14" s="205">
        <v>3.15</v>
      </c>
      <c r="R14" s="208">
        <v>171.45</v>
      </c>
      <c r="S14" s="209">
        <v>22.7</v>
      </c>
      <c r="T14" s="206">
        <v>13.38</v>
      </c>
      <c r="U14" s="207">
        <v>5.4</v>
      </c>
      <c r="Y14" s="37"/>
    </row>
    <row r="15" spans="1:25" ht="18.75" customHeight="1" x14ac:dyDescent="0.15">
      <c r="A15" s="202" t="s">
        <v>81</v>
      </c>
      <c r="B15" s="203">
        <v>156.19999999999999</v>
      </c>
      <c r="C15" s="203">
        <v>50.3</v>
      </c>
      <c r="D15" s="204">
        <v>25.51</v>
      </c>
      <c r="E15" s="205">
        <v>5.34</v>
      </c>
      <c r="F15" s="204">
        <v>24.25</v>
      </c>
      <c r="G15" s="205">
        <v>6.12</v>
      </c>
      <c r="H15" s="204">
        <v>46.48</v>
      </c>
      <c r="I15" s="205">
        <v>9.68</v>
      </c>
      <c r="J15" s="204">
        <v>49.03</v>
      </c>
      <c r="K15" s="205">
        <v>7.22</v>
      </c>
      <c r="L15" s="206">
        <v>286.3</v>
      </c>
      <c r="M15" s="207">
        <v>50</v>
      </c>
      <c r="N15" s="204">
        <v>62.88</v>
      </c>
      <c r="O15" s="205">
        <v>20.98</v>
      </c>
      <c r="P15" s="204">
        <v>8.73</v>
      </c>
      <c r="Q15" s="205">
        <v>2.77</v>
      </c>
      <c r="R15" s="208">
        <v>174.74</v>
      </c>
      <c r="S15" s="209">
        <v>22.49</v>
      </c>
      <c r="T15" s="206">
        <v>14.2</v>
      </c>
      <c r="U15" s="207">
        <v>5.4</v>
      </c>
      <c r="Y15" s="37"/>
    </row>
    <row r="16" spans="1:25" ht="18.75" customHeight="1" x14ac:dyDescent="0.15">
      <c r="A16" s="202" t="s">
        <v>82</v>
      </c>
      <c r="B16" s="203">
        <v>156.88</v>
      </c>
      <c r="C16" s="203">
        <v>51.86</v>
      </c>
      <c r="D16" s="204">
        <v>25.26</v>
      </c>
      <c r="E16" s="205">
        <v>4.37</v>
      </c>
      <c r="F16" s="204">
        <v>23.57</v>
      </c>
      <c r="G16" s="205">
        <v>5.21</v>
      </c>
      <c r="H16" s="204">
        <v>46.85</v>
      </c>
      <c r="I16" s="205">
        <v>9.39</v>
      </c>
      <c r="J16" s="204">
        <v>47.75</v>
      </c>
      <c r="K16" s="205">
        <v>5.15</v>
      </c>
      <c r="L16" s="206">
        <v>302.41000000000003</v>
      </c>
      <c r="M16" s="207">
        <v>40.549999999999997</v>
      </c>
      <c r="N16" s="204">
        <v>54.15</v>
      </c>
      <c r="O16" s="205">
        <v>16.87</v>
      </c>
      <c r="P16" s="204">
        <v>8.9600000000000009</v>
      </c>
      <c r="Q16" s="205">
        <v>0.76</v>
      </c>
      <c r="R16" s="208">
        <v>169.64</v>
      </c>
      <c r="S16" s="209">
        <v>20.6</v>
      </c>
      <c r="T16" s="206">
        <v>13.75</v>
      </c>
      <c r="U16" s="207">
        <v>3.95</v>
      </c>
      <c r="Y16" s="37"/>
    </row>
    <row r="17" spans="1:25" ht="18.75" customHeight="1" x14ac:dyDescent="0.15">
      <c r="A17" s="172" t="s">
        <v>83</v>
      </c>
      <c r="B17" s="173">
        <v>157.25</v>
      </c>
      <c r="C17" s="173">
        <v>52.53</v>
      </c>
      <c r="D17" s="174">
        <v>26.11</v>
      </c>
      <c r="E17" s="175">
        <v>4.47</v>
      </c>
      <c r="F17" s="174">
        <v>24.29</v>
      </c>
      <c r="G17" s="175">
        <v>5.33</v>
      </c>
      <c r="H17" s="174">
        <v>48.05</v>
      </c>
      <c r="I17" s="175">
        <v>9.4</v>
      </c>
      <c r="J17" s="174">
        <v>48.62</v>
      </c>
      <c r="K17" s="175">
        <v>5.3</v>
      </c>
      <c r="L17" s="176">
        <v>302.93</v>
      </c>
      <c r="M17" s="177">
        <v>43.47</v>
      </c>
      <c r="N17" s="174">
        <v>56.73</v>
      </c>
      <c r="O17" s="175">
        <v>16.77</v>
      </c>
      <c r="P17" s="174">
        <v>8.9</v>
      </c>
      <c r="Q17" s="175">
        <v>0.78</v>
      </c>
      <c r="R17" s="178">
        <v>172.23</v>
      </c>
      <c r="S17" s="179">
        <v>21.07</v>
      </c>
      <c r="T17" s="176">
        <v>14.37</v>
      </c>
      <c r="U17" s="177">
        <v>4.16</v>
      </c>
      <c r="Y17" s="37"/>
    </row>
    <row r="18" spans="1:25" ht="18.75" customHeight="1" x14ac:dyDescent="0.15">
      <c r="A18" s="172" t="s">
        <v>84</v>
      </c>
      <c r="B18" s="173">
        <v>157.52000000000001</v>
      </c>
      <c r="C18" s="173">
        <v>52.95</v>
      </c>
      <c r="D18" s="174">
        <v>26.46</v>
      </c>
      <c r="E18" s="175">
        <v>4.51</v>
      </c>
      <c r="F18" s="174">
        <v>24.79</v>
      </c>
      <c r="G18" s="175">
        <v>5.52</v>
      </c>
      <c r="H18" s="174">
        <v>49.3</v>
      </c>
      <c r="I18" s="175">
        <v>9.51</v>
      </c>
      <c r="J18" s="174">
        <v>48.92</v>
      </c>
      <c r="K18" s="175">
        <v>5.42</v>
      </c>
      <c r="L18" s="176">
        <v>303.72000000000003</v>
      </c>
      <c r="M18" s="177">
        <v>45.99</v>
      </c>
      <c r="N18" s="174">
        <v>55.89</v>
      </c>
      <c r="O18" s="175">
        <v>16.989999999999998</v>
      </c>
      <c r="P18" s="174">
        <v>8.92</v>
      </c>
      <c r="Q18" s="175">
        <v>0.95</v>
      </c>
      <c r="R18" s="178">
        <v>173.7</v>
      </c>
      <c r="S18" s="179">
        <v>21.2</v>
      </c>
      <c r="T18" s="176">
        <v>14.66</v>
      </c>
      <c r="U18" s="177">
        <v>4.24</v>
      </c>
    </row>
    <row r="19" spans="1:25" ht="19.5" customHeight="1" x14ac:dyDescent="0.15">
      <c r="A19" s="170" t="s">
        <v>349</v>
      </c>
      <c r="B19" s="88"/>
      <c r="C19" s="88"/>
      <c r="D19" s="88"/>
      <c r="E19" s="88"/>
      <c r="F19" s="88"/>
      <c r="G19" s="88"/>
      <c r="H19" s="88"/>
      <c r="I19" s="88"/>
      <c r="J19" s="88"/>
      <c r="K19" s="88"/>
      <c r="L19" s="88"/>
      <c r="M19" s="88"/>
      <c r="N19" s="88"/>
      <c r="O19" s="88"/>
      <c r="P19" s="88"/>
      <c r="Q19" s="88"/>
      <c r="R19" s="88"/>
      <c r="S19" s="88"/>
      <c r="T19" s="88"/>
      <c r="U19" s="88"/>
    </row>
  </sheetData>
  <mergeCells count="10">
    <mergeCell ref="H2:J2"/>
    <mergeCell ref="D4:E4"/>
    <mergeCell ref="F4:G4"/>
    <mergeCell ref="H4:I4"/>
    <mergeCell ref="J4:K4"/>
    <mergeCell ref="T4:U4"/>
    <mergeCell ref="L4:M4"/>
    <mergeCell ref="N4:O4"/>
    <mergeCell ref="P4:Q4"/>
    <mergeCell ref="R4:S4"/>
  </mergeCells>
  <phoneticPr fontId="4"/>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148"/>
  <sheetViews>
    <sheetView showGridLines="0" zoomScale="90" zoomScaleNormal="90" workbookViewId="0">
      <selection activeCell="C5" sqref="C5"/>
    </sheetView>
  </sheetViews>
  <sheetFormatPr defaultRowHeight="13.5" x14ac:dyDescent="0.15"/>
  <cols>
    <col min="1" max="1" width="4.125" customWidth="1"/>
    <col min="2" max="2" width="11.75" customWidth="1"/>
    <col min="3" max="3" width="7.875" customWidth="1"/>
    <col min="4" max="4" width="7.125" customWidth="1"/>
    <col min="5" max="6" width="6.375" customWidth="1"/>
    <col min="7" max="7" width="5.875" customWidth="1"/>
    <col min="8" max="8" width="6.875" customWidth="1"/>
    <col min="9" max="9" width="6.125" customWidth="1"/>
    <col min="10" max="10" width="6.25" customWidth="1"/>
    <col min="11" max="11" width="7.25" customWidth="1"/>
    <col min="12" max="12" width="6.75" customWidth="1"/>
    <col min="13" max="13" width="6.875" customWidth="1"/>
    <col min="14" max="14" width="6.375" customWidth="1"/>
    <col min="15" max="15" width="5.5" customWidth="1"/>
    <col min="16" max="16" width="6.375" customWidth="1"/>
    <col min="17" max="17" width="7.25" customWidth="1"/>
    <col min="18" max="18" width="6.375" customWidth="1"/>
    <col min="19" max="19" width="8.5" customWidth="1"/>
    <col min="20" max="20" width="6.75" customWidth="1"/>
    <col min="21" max="21" width="6.125" customWidth="1"/>
    <col min="22" max="22" width="6.5" customWidth="1"/>
  </cols>
  <sheetData>
    <row r="1" spans="1:22" ht="17.25" customHeight="1" x14ac:dyDescent="0.15">
      <c r="F1" s="53"/>
    </row>
    <row r="2" spans="1:22" x14ac:dyDescent="0.15">
      <c r="B2" s="9"/>
      <c r="C2" s="14" t="s">
        <v>85</v>
      </c>
      <c r="D2" s="14" t="s">
        <v>86</v>
      </c>
      <c r="E2" s="259" t="s">
        <v>20</v>
      </c>
      <c r="F2" s="259"/>
      <c r="G2" s="259" t="s">
        <v>21</v>
      </c>
      <c r="H2" s="259"/>
      <c r="I2" s="259" t="s">
        <v>22</v>
      </c>
      <c r="J2" s="259"/>
      <c r="K2" s="259" t="s">
        <v>23</v>
      </c>
      <c r="L2" s="259"/>
      <c r="M2" s="259" t="s">
        <v>24</v>
      </c>
      <c r="N2" s="259"/>
      <c r="O2" s="259" t="s">
        <v>25</v>
      </c>
      <c r="P2" s="259"/>
      <c r="Q2" s="259" t="s">
        <v>26</v>
      </c>
      <c r="R2" s="259"/>
      <c r="S2" s="259" t="s">
        <v>27</v>
      </c>
      <c r="T2" s="259"/>
      <c r="U2" s="259" t="s">
        <v>28</v>
      </c>
      <c r="V2" s="259"/>
    </row>
    <row r="3" spans="1:22" x14ac:dyDescent="0.15">
      <c r="B3" s="9" t="s">
        <v>29</v>
      </c>
      <c r="C3" s="9" t="s">
        <v>30</v>
      </c>
      <c r="D3" s="9" t="s">
        <v>30</v>
      </c>
      <c r="E3" s="9" t="s">
        <v>30</v>
      </c>
      <c r="F3" s="10" t="s">
        <v>31</v>
      </c>
      <c r="G3" s="9" t="s">
        <v>30</v>
      </c>
      <c r="H3" s="10" t="s">
        <v>31</v>
      </c>
      <c r="I3" s="9" t="s">
        <v>30</v>
      </c>
      <c r="J3" s="10" t="s">
        <v>31</v>
      </c>
      <c r="K3" s="9" t="s">
        <v>30</v>
      </c>
      <c r="L3" s="10" t="s">
        <v>31</v>
      </c>
      <c r="M3" s="9" t="s">
        <v>30</v>
      </c>
      <c r="N3" s="10" t="s">
        <v>31</v>
      </c>
      <c r="O3" s="9" t="s">
        <v>30</v>
      </c>
      <c r="P3" s="10" t="s">
        <v>31</v>
      </c>
      <c r="Q3" s="9" t="s">
        <v>30</v>
      </c>
      <c r="R3" s="10" t="s">
        <v>31</v>
      </c>
      <c r="S3" s="9" t="s">
        <v>30</v>
      </c>
      <c r="T3" s="10" t="s">
        <v>31</v>
      </c>
      <c r="U3" s="9" t="s">
        <v>30</v>
      </c>
      <c r="V3" s="10" t="s">
        <v>31</v>
      </c>
    </row>
    <row r="4" spans="1:22" x14ac:dyDescent="0.15">
      <c r="B4" s="9" t="s">
        <v>367</v>
      </c>
      <c r="C4" s="142">
        <f>熊本県基準値!B6</f>
        <v>152.77000000000001</v>
      </c>
      <c r="D4" s="142">
        <f>熊本県基準値!C6</f>
        <v>44.65</v>
      </c>
      <c r="E4" s="143">
        <f>熊本県基準値!D6</f>
        <v>24.29</v>
      </c>
      <c r="F4" s="143">
        <f>熊本県基準値!E6</f>
        <v>6.72</v>
      </c>
      <c r="G4" s="143">
        <f>熊本県基準値!F6</f>
        <v>23.65</v>
      </c>
      <c r="H4" s="143">
        <f>熊本県基準値!G6</f>
        <v>6.02</v>
      </c>
      <c r="I4" s="143">
        <f>熊本県基準値!H6</f>
        <v>38.619999999999997</v>
      </c>
      <c r="J4" s="143">
        <f>熊本県基準値!I6</f>
        <v>9.27</v>
      </c>
      <c r="K4" s="144">
        <f>熊本県基準値!J6</f>
        <v>48.96</v>
      </c>
      <c r="L4" s="144">
        <f>熊本県基準値!K6</f>
        <v>7.82</v>
      </c>
      <c r="M4" s="142">
        <f>熊本県基準値!L6</f>
        <v>429.24</v>
      </c>
      <c r="N4" s="142">
        <f>熊本県基準値!M6</f>
        <v>74.17</v>
      </c>
      <c r="O4" s="144">
        <f>熊本県基準値!N6</f>
        <v>70.36</v>
      </c>
      <c r="P4" s="144">
        <f>熊本県基準値!O6</f>
        <v>23.7</v>
      </c>
      <c r="Q4" s="143">
        <f>熊本県基準値!P6</f>
        <v>8.61</v>
      </c>
      <c r="R4" s="143">
        <f>熊本県基準値!Q6</f>
        <v>2.78</v>
      </c>
      <c r="S4" s="142">
        <f>熊本県基準値!R6</f>
        <v>180.11</v>
      </c>
      <c r="T4" s="142">
        <f>熊本県基準値!S6</f>
        <v>24.99</v>
      </c>
      <c r="U4" s="142">
        <f>熊本県基準値!T6</f>
        <v>18.02</v>
      </c>
      <c r="V4" s="142">
        <f>熊本県基準値!U6</f>
        <v>5.86</v>
      </c>
    </row>
    <row r="5" spans="1:22" x14ac:dyDescent="0.15">
      <c r="A5">
        <v>1</v>
      </c>
      <c r="B5" s="9" t="s">
        <v>368</v>
      </c>
      <c r="C5" s="142">
        <f>(C$16-C$4)/12*$A5+C$4</f>
        <v>153.36333333333334</v>
      </c>
      <c r="D5" s="142">
        <f t="shared" ref="D5:V15" si="0">(D$16-D$4)/12*$A5+D$4</f>
        <v>45.05</v>
      </c>
      <c r="E5" s="142">
        <f t="shared" si="0"/>
        <v>24.740833333333331</v>
      </c>
      <c r="F5" s="142">
        <f t="shared" si="0"/>
        <v>6.7824999999999998</v>
      </c>
      <c r="G5" s="142">
        <f t="shared" si="0"/>
        <v>23.927499999999998</v>
      </c>
      <c r="H5" s="142">
        <f t="shared" si="0"/>
        <v>6.0374999999999996</v>
      </c>
      <c r="I5" s="142">
        <f t="shared" si="0"/>
        <v>38.98833333333333</v>
      </c>
      <c r="J5" s="142">
        <f t="shared" si="0"/>
        <v>9.33</v>
      </c>
      <c r="K5" s="142">
        <f t="shared" si="0"/>
        <v>49.286666666666669</v>
      </c>
      <c r="L5" s="142">
        <f t="shared" si="0"/>
        <v>7.8375000000000004</v>
      </c>
      <c r="M5" s="142">
        <f t="shared" si="0"/>
        <v>425.99833333333333</v>
      </c>
      <c r="N5" s="142">
        <f t="shared" si="0"/>
        <v>73.456666666666663</v>
      </c>
      <c r="O5" s="142">
        <f t="shared" si="0"/>
        <v>71.797499999999999</v>
      </c>
      <c r="P5" s="142">
        <f t="shared" si="0"/>
        <v>23.801666666666666</v>
      </c>
      <c r="Q5" s="142">
        <f t="shared" si="0"/>
        <v>8.5599999999999987</v>
      </c>
      <c r="R5" s="142">
        <f t="shared" si="0"/>
        <v>2.7858333333333332</v>
      </c>
      <c r="S5" s="142">
        <f t="shared" si="0"/>
        <v>181.60416666666669</v>
      </c>
      <c r="T5" s="142">
        <f t="shared" si="0"/>
        <v>25.031666666666666</v>
      </c>
      <c r="U5" s="142">
        <f t="shared" si="0"/>
        <v>18.262499999999999</v>
      </c>
      <c r="V5" s="142">
        <f t="shared" si="0"/>
        <v>5.8841666666666672</v>
      </c>
    </row>
    <row r="6" spans="1:22" x14ac:dyDescent="0.15">
      <c r="A6">
        <v>2</v>
      </c>
      <c r="B6" s="9" t="s">
        <v>369</v>
      </c>
      <c r="C6" s="142">
        <f t="shared" ref="C6:C15" si="1">(C$16-C$4)/12*$A6+C$4</f>
        <v>153.95666666666668</v>
      </c>
      <c r="D6" s="142">
        <f t="shared" ref="D6:R6" si="2">(D$16-D$4)/12*$A6+D$4</f>
        <v>45.45</v>
      </c>
      <c r="E6" s="142">
        <f t="shared" si="2"/>
        <v>25.191666666666666</v>
      </c>
      <c r="F6" s="142">
        <f t="shared" si="2"/>
        <v>6.8449999999999998</v>
      </c>
      <c r="G6" s="142">
        <f t="shared" si="2"/>
        <v>24.204999999999998</v>
      </c>
      <c r="H6" s="142">
        <f t="shared" si="2"/>
        <v>6.0549999999999997</v>
      </c>
      <c r="I6" s="142">
        <f t="shared" si="2"/>
        <v>39.356666666666662</v>
      </c>
      <c r="J6" s="142">
        <f t="shared" si="2"/>
        <v>9.39</v>
      </c>
      <c r="K6" s="142">
        <f t="shared" si="2"/>
        <v>49.613333333333337</v>
      </c>
      <c r="L6" s="142">
        <f t="shared" si="2"/>
        <v>7.8550000000000004</v>
      </c>
      <c r="M6" s="142">
        <f t="shared" si="2"/>
        <v>422.75666666666666</v>
      </c>
      <c r="N6" s="142">
        <f t="shared" si="2"/>
        <v>72.743333333333339</v>
      </c>
      <c r="O6" s="142">
        <f t="shared" si="2"/>
        <v>73.234999999999999</v>
      </c>
      <c r="P6" s="142">
        <f t="shared" si="2"/>
        <v>23.903333333333332</v>
      </c>
      <c r="Q6" s="142">
        <f t="shared" si="2"/>
        <v>8.51</v>
      </c>
      <c r="R6" s="142">
        <f t="shared" si="2"/>
        <v>2.7916666666666665</v>
      </c>
      <c r="S6" s="142">
        <f t="shared" si="0"/>
        <v>183.09833333333336</v>
      </c>
      <c r="T6" s="142">
        <f t="shared" si="0"/>
        <v>25.073333333333331</v>
      </c>
      <c r="U6" s="142">
        <f t="shared" si="0"/>
        <v>18.504999999999999</v>
      </c>
      <c r="V6" s="142">
        <f t="shared" si="0"/>
        <v>5.9083333333333332</v>
      </c>
    </row>
    <row r="7" spans="1:22" x14ac:dyDescent="0.15">
      <c r="A7">
        <v>3</v>
      </c>
      <c r="B7" s="9" t="s">
        <v>370</v>
      </c>
      <c r="C7" s="142">
        <f t="shared" si="1"/>
        <v>154.55000000000001</v>
      </c>
      <c r="D7" s="142">
        <f t="shared" si="0"/>
        <v>45.85</v>
      </c>
      <c r="E7" s="142">
        <f t="shared" si="0"/>
        <v>25.642499999999998</v>
      </c>
      <c r="F7" s="142">
        <f t="shared" si="0"/>
        <v>6.9074999999999998</v>
      </c>
      <c r="G7" s="142">
        <f t="shared" si="0"/>
        <v>24.482499999999998</v>
      </c>
      <c r="H7" s="142">
        <f t="shared" si="0"/>
        <v>6.0724999999999998</v>
      </c>
      <c r="I7" s="142">
        <f t="shared" si="0"/>
        <v>39.724999999999994</v>
      </c>
      <c r="J7" s="142">
        <f t="shared" si="0"/>
        <v>9.4499999999999993</v>
      </c>
      <c r="K7" s="142">
        <f t="shared" si="0"/>
        <v>49.94</v>
      </c>
      <c r="L7" s="142">
        <f t="shared" si="0"/>
        <v>7.8725000000000005</v>
      </c>
      <c r="M7" s="142">
        <f t="shared" si="0"/>
        <v>419.51499999999999</v>
      </c>
      <c r="N7" s="142">
        <f t="shared" si="0"/>
        <v>72.03</v>
      </c>
      <c r="O7" s="142">
        <f t="shared" si="0"/>
        <v>74.672499999999999</v>
      </c>
      <c r="P7" s="142">
        <f t="shared" si="0"/>
        <v>24.004999999999999</v>
      </c>
      <c r="Q7" s="142">
        <f t="shared" si="0"/>
        <v>8.4599999999999991</v>
      </c>
      <c r="R7" s="142">
        <f t="shared" si="0"/>
        <v>2.7974999999999999</v>
      </c>
      <c r="S7" s="142">
        <f t="shared" si="0"/>
        <v>184.5925</v>
      </c>
      <c r="T7" s="142">
        <f t="shared" si="0"/>
        <v>25.114999999999998</v>
      </c>
      <c r="U7" s="142">
        <f t="shared" si="0"/>
        <v>18.747499999999999</v>
      </c>
      <c r="V7" s="142">
        <f t="shared" si="0"/>
        <v>5.9325000000000001</v>
      </c>
    </row>
    <row r="8" spans="1:22" x14ac:dyDescent="0.15">
      <c r="A8">
        <v>4</v>
      </c>
      <c r="B8" s="9" t="s">
        <v>371</v>
      </c>
      <c r="C8" s="142">
        <f t="shared" si="1"/>
        <v>155.14333333333335</v>
      </c>
      <c r="D8" s="142">
        <f t="shared" si="0"/>
        <v>46.25</v>
      </c>
      <c r="E8" s="142">
        <f t="shared" si="0"/>
        <v>26.093333333333334</v>
      </c>
      <c r="F8" s="142">
        <f t="shared" si="0"/>
        <v>6.97</v>
      </c>
      <c r="G8" s="142">
        <f t="shared" si="0"/>
        <v>24.759999999999998</v>
      </c>
      <c r="H8" s="142">
        <f t="shared" si="0"/>
        <v>6.09</v>
      </c>
      <c r="I8" s="142">
        <f t="shared" si="0"/>
        <v>40.093333333333334</v>
      </c>
      <c r="J8" s="142">
        <f t="shared" si="0"/>
        <v>9.51</v>
      </c>
      <c r="K8" s="142">
        <f t="shared" si="0"/>
        <v>50.266666666666666</v>
      </c>
      <c r="L8" s="142">
        <f t="shared" si="0"/>
        <v>7.89</v>
      </c>
      <c r="M8" s="142">
        <f t="shared" si="0"/>
        <v>416.27333333333331</v>
      </c>
      <c r="N8" s="142">
        <f t="shared" si="0"/>
        <v>71.316666666666663</v>
      </c>
      <c r="O8" s="142">
        <f t="shared" si="0"/>
        <v>76.11</v>
      </c>
      <c r="P8" s="142">
        <f t="shared" si="0"/>
        <v>24.106666666666666</v>
      </c>
      <c r="Q8" s="142">
        <f t="shared" si="0"/>
        <v>8.41</v>
      </c>
      <c r="R8" s="142">
        <f t="shared" si="0"/>
        <v>2.8033333333333332</v>
      </c>
      <c r="S8" s="142">
        <f t="shared" si="0"/>
        <v>186.08666666666667</v>
      </c>
      <c r="T8" s="142">
        <f t="shared" si="0"/>
        <v>25.156666666666666</v>
      </c>
      <c r="U8" s="142">
        <f t="shared" si="0"/>
        <v>18.989999999999998</v>
      </c>
      <c r="V8" s="142">
        <f t="shared" si="0"/>
        <v>5.956666666666667</v>
      </c>
    </row>
    <row r="9" spans="1:22" x14ac:dyDescent="0.15">
      <c r="A9">
        <v>5</v>
      </c>
      <c r="B9" s="9" t="s">
        <v>372</v>
      </c>
      <c r="C9" s="142">
        <f t="shared" si="1"/>
        <v>155.73666666666668</v>
      </c>
      <c r="D9" s="142">
        <f t="shared" si="0"/>
        <v>46.65</v>
      </c>
      <c r="E9" s="142">
        <f t="shared" si="0"/>
        <v>26.544166666666666</v>
      </c>
      <c r="F9" s="142">
        <f t="shared" si="0"/>
        <v>7.0324999999999998</v>
      </c>
      <c r="G9" s="142">
        <f t="shared" si="0"/>
        <v>25.037499999999998</v>
      </c>
      <c r="H9" s="142">
        <f t="shared" si="0"/>
        <v>6.1074999999999999</v>
      </c>
      <c r="I9" s="142">
        <f t="shared" si="0"/>
        <v>40.461666666666666</v>
      </c>
      <c r="J9" s="142">
        <f t="shared" si="0"/>
        <v>9.57</v>
      </c>
      <c r="K9" s="142">
        <f t="shared" si="0"/>
        <v>50.593333333333334</v>
      </c>
      <c r="L9" s="142">
        <f t="shared" si="0"/>
        <v>7.9074999999999998</v>
      </c>
      <c r="M9" s="142">
        <f t="shared" si="0"/>
        <v>413.03166666666664</v>
      </c>
      <c r="N9" s="142">
        <f t="shared" si="0"/>
        <v>70.603333333333339</v>
      </c>
      <c r="O9" s="142">
        <f t="shared" si="0"/>
        <v>77.547499999999999</v>
      </c>
      <c r="P9" s="142">
        <f t="shared" si="0"/>
        <v>24.208333333333332</v>
      </c>
      <c r="Q9" s="142">
        <f t="shared" si="0"/>
        <v>8.36</v>
      </c>
      <c r="R9" s="142">
        <f t="shared" si="0"/>
        <v>2.8091666666666666</v>
      </c>
      <c r="S9" s="142">
        <f t="shared" si="0"/>
        <v>187.58083333333335</v>
      </c>
      <c r="T9" s="142">
        <f t="shared" si="0"/>
        <v>25.198333333333331</v>
      </c>
      <c r="U9" s="142">
        <f t="shared" si="0"/>
        <v>19.232499999999998</v>
      </c>
      <c r="V9" s="142">
        <f t="shared" si="0"/>
        <v>5.9808333333333339</v>
      </c>
    </row>
    <row r="10" spans="1:22" x14ac:dyDescent="0.15">
      <c r="A10">
        <v>6</v>
      </c>
      <c r="B10" s="9" t="s">
        <v>373</v>
      </c>
      <c r="C10" s="142">
        <f t="shared" si="1"/>
        <v>156.32999999999998</v>
      </c>
      <c r="D10" s="142">
        <f t="shared" si="0"/>
        <v>47.05</v>
      </c>
      <c r="E10" s="142">
        <f t="shared" si="0"/>
        <v>26.994999999999997</v>
      </c>
      <c r="F10" s="142">
        <f t="shared" si="0"/>
        <v>7.0949999999999998</v>
      </c>
      <c r="G10" s="142">
        <f t="shared" si="0"/>
        <v>25.314999999999998</v>
      </c>
      <c r="H10" s="142">
        <f t="shared" si="0"/>
        <v>6.125</v>
      </c>
      <c r="I10" s="142">
        <f t="shared" si="0"/>
        <v>40.83</v>
      </c>
      <c r="J10" s="142">
        <f t="shared" si="0"/>
        <v>9.629999999999999</v>
      </c>
      <c r="K10" s="142">
        <f t="shared" si="0"/>
        <v>50.92</v>
      </c>
      <c r="L10" s="142">
        <f t="shared" si="0"/>
        <v>7.9249999999999998</v>
      </c>
      <c r="M10" s="142">
        <f t="shared" si="0"/>
        <v>409.78999999999996</v>
      </c>
      <c r="N10" s="142">
        <f t="shared" si="0"/>
        <v>69.89</v>
      </c>
      <c r="O10" s="142">
        <f t="shared" si="0"/>
        <v>78.984999999999999</v>
      </c>
      <c r="P10" s="142">
        <f t="shared" si="0"/>
        <v>24.310000000000002</v>
      </c>
      <c r="Q10" s="142">
        <f t="shared" si="0"/>
        <v>8.3099999999999987</v>
      </c>
      <c r="R10" s="142">
        <f t="shared" si="0"/>
        <v>2.8149999999999999</v>
      </c>
      <c r="S10" s="142">
        <f t="shared" si="0"/>
        <v>189.07499999999999</v>
      </c>
      <c r="T10" s="142">
        <f t="shared" si="0"/>
        <v>25.24</v>
      </c>
      <c r="U10" s="142">
        <f t="shared" si="0"/>
        <v>19.475000000000001</v>
      </c>
      <c r="V10" s="142">
        <f t="shared" si="0"/>
        <v>6.0050000000000008</v>
      </c>
    </row>
    <row r="11" spans="1:22" x14ac:dyDescent="0.15">
      <c r="A11">
        <v>7</v>
      </c>
      <c r="B11" s="9" t="s">
        <v>374</v>
      </c>
      <c r="C11" s="142">
        <f t="shared" si="1"/>
        <v>156.92333333333332</v>
      </c>
      <c r="D11" s="142">
        <f t="shared" si="0"/>
        <v>47.45</v>
      </c>
      <c r="E11" s="142">
        <f t="shared" si="0"/>
        <v>27.445833333333333</v>
      </c>
      <c r="F11" s="142">
        <f t="shared" si="0"/>
        <v>7.1574999999999998</v>
      </c>
      <c r="G11" s="142">
        <f t="shared" si="0"/>
        <v>25.592500000000001</v>
      </c>
      <c r="H11" s="142">
        <f t="shared" si="0"/>
        <v>6.1425000000000001</v>
      </c>
      <c r="I11" s="142">
        <f t="shared" si="0"/>
        <v>41.198333333333331</v>
      </c>
      <c r="J11" s="142">
        <f t="shared" si="0"/>
        <v>9.69</v>
      </c>
      <c r="K11" s="142">
        <f t="shared" si="0"/>
        <v>51.24666666666667</v>
      </c>
      <c r="L11" s="142">
        <f t="shared" si="0"/>
        <v>7.9424999999999999</v>
      </c>
      <c r="M11" s="142">
        <f t="shared" si="0"/>
        <v>406.54833333333335</v>
      </c>
      <c r="N11" s="142">
        <f t="shared" si="0"/>
        <v>69.176666666666662</v>
      </c>
      <c r="O11" s="142">
        <f t="shared" si="0"/>
        <v>80.422499999999999</v>
      </c>
      <c r="P11" s="142">
        <f t="shared" si="0"/>
        <v>24.411666666666669</v>
      </c>
      <c r="Q11" s="142">
        <f t="shared" si="0"/>
        <v>8.26</v>
      </c>
      <c r="R11" s="142">
        <f t="shared" si="0"/>
        <v>2.8208333333333333</v>
      </c>
      <c r="S11" s="142">
        <f t="shared" si="0"/>
        <v>190.56916666666666</v>
      </c>
      <c r="T11" s="142">
        <f t="shared" si="0"/>
        <v>25.281666666666666</v>
      </c>
      <c r="U11" s="142">
        <f t="shared" si="0"/>
        <v>19.717500000000001</v>
      </c>
      <c r="V11" s="142">
        <f t="shared" si="0"/>
        <v>6.0291666666666668</v>
      </c>
    </row>
    <row r="12" spans="1:22" x14ac:dyDescent="0.15">
      <c r="A12">
        <v>8</v>
      </c>
      <c r="B12" s="9" t="s">
        <v>375</v>
      </c>
      <c r="C12" s="142">
        <f t="shared" si="1"/>
        <v>157.51666666666665</v>
      </c>
      <c r="D12" s="142">
        <f t="shared" si="0"/>
        <v>47.85</v>
      </c>
      <c r="E12" s="142">
        <f t="shared" si="0"/>
        <v>27.896666666666665</v>
      </c>
      <c r="F12" s="142">
        <f t="shared" si="0"/>
        <v>7.22</v>
      </c>
      <c r="G12" s="142">
        <f t="shared" si="0"/>
        <v>25.87</v>
      </c>
      <c r="H12" s="142">
        <f t="shared" si="0"/>
        <v>6.16</v>
      </c>
      <c r="I12" s="142">
        <f t="shared" si="0"/>
        <v>41.566666666666663</v>
      </c>
      <c r="J12" s="142">
        <f t="shared" si="0"/>
        <v>9.75</v>
      </c>
      <c r="K12" s="142">
        <f t="shared" si="0"/>
        <v>51.573333333333338</v>
      </c>
      <c r="L12" s="142">
        <f t="shared" si="0"/>
        <v>7.96</v>
      </c>
      <c r="M12" s="142">
        <f t="shared" si="0"/>
        <v>403.30666666666667</v>
      </c>
      <c r="N12" s="142">
        <f t="shared" si="0"/>
        <v>68.463333333333338</v>
      </c>
      <c r="O12" s="142">
        <f t="shared" si="0"/>
        <v>81.86</v>
      </c>
      <c r="P12" s="142">
        <f t="shared" si="0"/>
        <v>24.513333333333335</v>
      </c>
      <c r="Q12" s="142">
        <f t="shared" si="0"/>
        <v>8.2099999999999991</v>
      </c>
      <c r="R12" s="142">
        <f t="shared" si="0"/>
        <v>2.8266666666666667</v>
      </c>
      <c r="S12" s="142">
        <f t="shared" si="0"/>
        <v>192.06333333333333</v>
      </c>
      <c r="T12" s="142">
        <f t="shared" si="0"/>
        <v>25.323333333333331</v>
      </c>
      <c r="U12" s="142">
        <f t="shared" si="0"/>
        <v>19.96</v>
      </c>
      <c r="V12" s="142">
        <f t="shared" si="0"/>
        <v>6.0533333333333337</v>
      </c>
    </row>
    <row r="13" spans="1:22" x14ac:dyDescent="0.15">
      <c r="A13">
        <v>9</v>
      </c>
      <c r="B13" s="9" t="s">
        <v>376</v>
      </c>
      <c r="C13" s="142">
        <f t="shared" si="1"/>
        <v>158.10999999999999</v>
      </c>
      <c r="D13" s="142">
        <f t="shared" si="0"/>
        <v>48.25</v>
      </c>
      <c r="E13" s="142">
        <f t="shared" si="0"/>
        <v>28.3475</v>
      </c>
      <c r="F13" s="142">
        <f t="shared" si="0"/>
        <v>7.2824999999999998</v>
      </c>
      <c r="G13" s="142">
        <f t="shared" si="0"/>
        <v>26.147500000000001</v>
      </c>
      <c r="H13" s="142">
        <f t="shared" si="0"/>
        <v>6.1775000000000002</v>
      </c>
      <c r="I13" s="142">
        <f t="shared" si="0"/>
        <v>41.935000000000002</v>
      </c>
      <c r="J13" s="142">
        <f t="shared" si="0"/>
        <v>9.81</v>
      </c>
      <c r="K13" s="142">
        <f t="shared" si="0"/>
        <v>51.900000000000006</v>
      </c>
      <c r="L13" s="142">
        <f t="shared" si="0"/>
        <v>7.9774999999999991</v>
      </c>
      <c r="M13" s="142">
        <f t="shared" si="0"/>
        <v>400.065</v>
      </c>
      <c r="N13" s="142">
        <f t="shared" si="0"/>
        <v>67.75</v>
      </c>
      <c r="O13" s="142">
        <f t="shared" si="0"/>
        <v>83.297499999999999</v>
      </c>
      <c r="P13" s="142">
        <f t="shared" si="0"/>
        <v>24.615000000000002</v>
      </c>
      <c r="Q13" s="142">
        <f t="shared" si="0"/>
        <v>8.16</v>
      </c>
      <c r="R13" s="142">
        <f t="shared" si="0"/>
        <v>2.8325</v>
      </c>
      <c r="S13" s="142">
        <f t="shared" si="0"/>
        <v>193.5575</v>
      </c>
      <c r="T13" s="142">
        <f t="shared" si="0"/>
        <v>25.364999999999998</v>
      </c>
      <c r="U13" s="142">
        <f t="shared" si="0"/>
        <v>20.202500000000001</v>
      </c>
      <c r="V13" s="142">
        <f t="shared" si="0"/>
        <v>6.0775000000000006</v>
      </c>
    </row>
    <row r="14" spans="1:22" x14ac:dyDescent="0.15">
      <c r="A14">
        <v>10</v>
      </c>
      <c r="B14" s="9" t="s">
        <v>377</v>
      </c>
      <c r="C14" s="142">
        <f t="shared" si="1"/>
        <v>158.70333333333332</v>
      </c>
      <c r="D14" s="142">
        <f t="shared" si="0"/>
        <v>48.650000000000006</v>
      </c>
      <c r="E14" s="142">
        <f t="shared" si="0"/>
        <v>28.798333333333332</v>
      </c>
      <c r="F14" s="142">
        <f t="shared" si="0"/>
        <v>7.3449999999999998</v>
      </c>
      <c r="G14" s="142">
        <f t="shared" si="0"/>
        <v>26.425000000000001</v>
      </c>
      <c r="H14" s="142">
        <f t="shared" si="0"/>
        <v>6.1950000000000003</v>
      </c>
      <c r="I14" s="142">
        <f t="shared" si="0"/>
        <v>42.303333333333335</v>
      </c>
      <c r="J14" s="142">
        <f t="shared" si="0"/>
        <v>9.870000000000001</v>
      </c>
      <c r="K14" s="142">
        <f t="shared" si="0"/>
        <v>52.226666666666667</v>
      </c>
      <c r="L14" s="142">
        <f t="shared" si="0"/>
        <v>7.9949999999999992</v>
      </c>
      <c r="M14" s="142">
        <f t="shared" si="0"/>
        <v>396.82333333333332</v>
      </c>
      <c r="N14" s="142">
        <f t="shared" si="0"/>
        <v>67.036666666666662</v>
      </c>
      <c r="O14" s="142">
        <f t="shared" si="0"/>
        <v>84.734999999999999</v>
      </c>
      <c r="P14" s="142">
        <f t="shared" si="0"/>
        <v>24.716666666666669</v>
      </c>
      <c r="Q14" s="142">
        <f t="shared" si="0"/>
        <v>8.11</v>
      </c>
      <c r="R14" s="142">
        <f t="shared" si="0"/>
        <v>2.8383333333333334</v>
      </c>
      <c r="S14" s="142">
        <f t="shared" si="0"/>
        <v>195.05166666666668</v>
      </c>
      <c r="T14" s="142">
        <f t="shared" si="0"/>
        <v>25.406666666666666</v>
      </c>
      <c r="U14" s="142">
        <f t="shared" si="0"/>
        <v>20.445</v>
      </c>
      <c r="V14" s="142">
        <f t="shared" si="0"/>
        <v>6.1016666666666666</v>
      </c>
    </row>
    <row r="15" spans="1:22" x14ac:dyDescent="0.15">
      <c r="A15">
        <v>11</v>
      </c>
      <c r="B15" s="9" t="s">
        <v>378</v>
      </c>
      <c r="C15" s="142">
        <f t="shared" si="1"/>
        <v>159.29666666666665</v>
      </c>
      <c r="D15" s="142">
        <f t="shared" si="0"/>
        <v>49.050000000000004</v>
      </c>
      <c r="E15" s="142">
        <f t="shared" si="0"/>
        <v>29.249166666666667</v>
      </c>
      <c r="F15" s="142">
        <f t="shared" si="0"/>
        <v>7.4074999999999998</v>
      </c>
      <c r="G15" s="142">
        <f t="shared" si="0"/>
        <v>26.702500000000001</v>
      </c>
      <c r="H15" s="142">
        <f t="shared" si="0"/>
        <v>6.2125000000000004</v>
      </c>
      <c r="I15" s="142">
        <f t="shared" si="0"/>
        <v>42.671666666666667</v>
      </c>
      <c r="J15" s="142">
        <f t="shared" si="0"/>
        <v>9.93</v>
      </c>
      <c r="K15" s="142">
        <f t="shared" si="0"/>
        <v>52.553333333333335</v>
      </c>
      <c r="L15" s="142">
        <f t="shared" si="0"/>
        <v>8.0124999999999993</v>
      </c>
      <c r="M15" s="142">
        <f t="shared" si="0"/>
        <v>393.58166666666665</v>
      </c>
      <c r="N15" s="142">
        <f t="shared" si="0"/>
        <v>66.323333333333338</v>
      </c>
      <c r="O15" s="142">
        <f t="shared" si="0"/>
        <v>86.172499999999999</v>
      </c>
      <c r="P15" s="142">
        <f t="shared" si="0"/>
        <v>24.818333333333335</v>
      </c>
      <c r="Q15" s="142">
        <f t="shared" si="0"/>
        <v>8.06</v>
      </c>
      <c r="R15" s="142">
        <f t="shared" si="0"/>
        <v>2.8441666666666667</v>
      </c>
      <c r="S15" s="142">
        <f t="shared" si="0"/>
        <v>196.54583333333332</v>
      </c>
      <c r="T15" s="142">
        <f t="shared" si="0"/>
        <v>25.448333333333331</v>
      </c>
      <c r="U15" s="142">
        <f t="shared" si="0"/>
        <v>20.6875</v>
      </c>
      <c r="V15" s="142">
        <f t="shared" si="0"/>
        <v>6.1258333333333335</v>
      </c>
    </row>
    <row r="16" spans="1:22" x14ac:dyDescent="0.15">
      <c r="B16" s="9" t="s">
        <v>379</v>
      </c>
      <c r="C16" s="142">
        <f>熊本県基準値!B7</f>
        <v>159.88999999999999</v>
      </c>
      <c r="D16" s="142">
        <f>熊本県基準値!C7</f>
        <v>49.45</v>
      </c>
      <c r="E16" s="143">
        <f>熊本県基準値!D7</f>
        <v>29.7</v>
      </c>
      <c r="F16" s="143">
        <f>熊本県基準値!E7</f>
        <v>7.47</v>
      </c>
      <c r="G16" s="143">
        <f>熊本県基準値!F7</f>
        <v>26.98</v>
      </c>
      <c r="H16" s="143">
        <f>熊本県基準値!G7</f>
        <v>6.23</v>
      </c>
      <c r="I16" s="143">
        <f>熊本県基準値!H7</f>
        <v>43.04</v>
      </c>
      <c r="J16" s="143">
        <f>熊本県基準値!I7</f>
        <v>9.99</v>
      </c>
      <c r="K16" s="144">
        <f>熊本県基準値!J7</f>
        <v>52.88</v>
      </c>
      <c r="L16" s="144">
        <f>熊本県基準値!K7</f>
        <v>8.0299999999999994</v>
      </c>
      <c r="M16" s="142">
        <f>熊本県基準値!L7</f>
        <v>390.34</v>
      </c>
      <c r="N16" s="142">
        <f>熊本県基準値!M7</f>
        <v>65.61</v>
      </c>
      <c r="O16" s="144">
        <f>熊本県基準値!N7</f>
        <v>87.61</v>
      </c>
      <c r="P16" s="144">
        <f>熊本県基準値!O7</f>
        <v>24.92</v>
      </c>
      <c r="Q16" s="143">
        <f>熊本県基準値!P7</f>
        <v>8.01</v>
      </c>
      <c r="R16" s="143">
        <f>熊本県基準値!Q7</f>
        <v>2.85</v>
      </c>
      <c r="S16" s="142">
        <f>熊本県基準値!R7</f>
        <v>198.04</v>
      </c>
      <c r="T16" s="142">
        <f>熊本県基準値!S7</f>
        <v>25.49</v>
      </c>
      <c r="U16" s="142">
        <f>熊本県基準値!T7</f>
        <v>20.93</v>
      </c>
      <c r="V16" s="142">
        <f>熊本県基準値!U7</f>
        <v>6.15</v>
      </c>
    </row>
    <row r="17" spans="1:22" x14ac:dyDescent="0.15">
      <c r="A17">
        <v>1</v>
      </c>
      <c r="B17" s="9" t="s">
        <v>380</v>
      </c>
      <c r="C17" s="142">
        <f t="shared" ref="C17:C27" si="3">(C$28-C$16)/12*$A17+C$16</f>
        <v>160.31833333333333</v>
      </c>
      <c r="D17" s="142">
        <f t="shared" ref="D17:V27" si="4">(D$28-D$16)/12*$A17+D$16</f>
        <v>49.849166666666669</v>
      </c>
      <c r="E17" s="142">
        <f t="shared" si="4"/>
        <v>30.104166666666664</v>
      </c>
      <c r="F17" s="142">
        <f t="shared" si="4"/>
        <v>7.4849999999999994</v>
      </c>
      <c r="G17" s="142">
        <f t="shared" si="4"/>
        <v>27.177500000000002</v>
      </c>
      <c r="H17" s="142">
        <f t="shared" si="4"/>
        <v>6.2583333333333337</v>
      </c>
      <c r="I17" s="142">
        <f t="shared" si="4"/>
        <v>43.37083333333333</v>
      </c>
      <c r="J17" s="142">
        <f t="shared" si="4"/>
        <v>10.047499999999999</v>
      </c>
      <c r="K17" s="142">
        <f t="shared" si="4"/>
        <v>53.145000000000003</v>
      </c>
      <c r="L17" s="142">
        <f t="shared" si="4"/>
        <v>8.0641666666666652</v>
      </c>
      <c r="M17" s="142">
        <f t="shared" si="4"/>
        <v>388.96333333333331</v>
      </c>
      <c r="N17" s="142">
        <f t="shared" si="4"/>
        <v>65.424166666666665</v>
      </c>
      <c r="O17" s="142">
        <f t="shared" si="4"/>
        <v>88.307500000000005</v>
      </c>
      <c r="P17" s="142">
        <f t="shared" si="4"/>
        <v>24.854166666666668</v>
      </c>
      <c r="Q17" s="142">
        <f t="shared" si="4"/>
        <v>7.9766666666666666</v>
      </c>
      <c r="R17" s="142">
        <f t="shared" si="4"/>
        <v>2.8491666666666666</v>
      </c>
      <c r="S17" s="142">
        <f t="shared" si="4"/>
        <v>199.18583333333333</v>
      </c>
      <c r="T17" s="142">
        <f t="shared" si="4"/>
        <v>25.424999999999997</v>
      </c>
      <c r="U17" s="142">
        <f t="shared" si="4"/>
        <v>21.138333333333332</v>
      </c>
      <c r="V17" s="142">
        <f t="shared" si="4"/>
        <v>6.1925000000000008</v>
      </c>
    </row>
    <row r="18" spans="1:22" x14ac:dyDescent="0.15">
      <c r="A18">
        <v>2</v>
      </c>
      <c r="B18" s="9" t="s">
        <v>381</v>
      </c>
      <c r="C18" s="142">
        <f t="shared" si="3"/>
        <v>160.74666666666667</v>
      </c>
      <c r="D18" s="142">
        <f t="shared" ref="D18:R18" si="5">(D$28-D$16)/12*$A18+D$16</f>
        <v>50.248333333333335</v>
      </c>
      <c r="E18" s="142">
        <f t="shared" si="5"/>
        <v>30.508333333333333</v>
      </c>
      <c r="F18" s="142">
        <f t="shared" si="5"/>
        <v>7.5</v>
      </c>
      <c r="G18" s="142">
        <f t="shared" si="5"/>
        <v>27.375</v>
      </c>
      <c r="H18" s="142">
        <f t="shared" si="5"/>
        <v>6.2866666666666671</v>
      </c>
      <c r="I18" s="142">
        <f t="shared" si="5"/>
        <v>43.701666666666668</v>
      </c>
      <c r="J18" s="142">
        <f t="shared" si="5"/>
        <v>10.105</v>
      </c>
      <c r="K18" s="142">
        <f t="shared" si="5"/>
        <v>53.410000000000004</v>
      </c>
      <c r="L18" s="142">
        <f t="shared" si="5"/>
        <v>8.0983333333333327</v>
      </c>
      <c r="M18" s="142">
        <f t="shared" si="5"/>
        <v>387.58666666666664</v>
      </c>
      <c r="N18" s="142">
        <f t="shared" si="5"/>
        <v>65.23833333333333</v>
      </c>
      <c r="O18" s="142">
        <f t="shared" si="5"/>
        <v>89.004999999999995</v>
      </c>
      <c r="P18" s="142">
        <f t="shared" si="5"/>
        <v>24.788333333333334</v>
      </c>
      <c r="Q18" s="142">
        <f t="shared" si="5"/>
        <v>7.9433333333333334</v>
      </c>
      <c r="R18" s="142">
        <f t="shared" si="5"/>
        <v>2.8483333333333336</v>
      </c>
      <c r="S18" s="142">
        <f t="shared" si="4"/>
        <v>200.33166666666665</v>
      </c>
      <c r="T18" s="142">
        <f t="shared" si="4"/>
        <v>25.36</v>
      </c>
      <c r="U18" s="142">
        <f t="shared" si="4"/>
        <v>21.346666666666668</v>
      </c>
      <c r="V18" s="142">
        <f t="shared" si="4"/>
        <v>6.2350000000000003</v>
      </c>
    </row>
    <row r="19" spans="1:22" x14ac:dyDescent="0.15">
      <c r="A19">
        <v>3</v>
      </c>
      <c r="B19" s="9" t="s">
        <v>382</v>
      </c>
      <c r="C19" s="142">
        <f t="shared" si="3"/>
        <v>161.17499999999998</v>
      </c>
      <c r="D19" s="142">
        <f t="shared" si="4"/>
        <v>50.647500000000001</v>
      </c>
      <c r="E19" s="142">
        <f t="shared" si="4"/>
        <v>30.912499999999998</v>
      </c>
      <c r="F19" s="142">
        <f t="shared" si="4"/>
        <v>7.5149999999999997</v>
      </c>
      <c r="G19" s="142">
        <f t="shared" si="4"/>
        <v>27.572500000000002</v>
      </c>
      <c r="H19" s="142">
        <f t="shared" si="4"/>
        <v>6.3150000000000004</v>
      </c>
      <c r="I19" s="142">
        <f t="shared" si="4"/>
        <v>44.032499999999999</v>
      </c>
      <c r="J19" s="142">
        <f t="shared" si="4"/>
        <v>10.1625</v>
      </c>
      <c r="K19" s="142">
        <f t="shared" si="4"/>
        <v>53.675000000000004</v>
      </c>
      <c r="L19" s="142">
        <f t="shared" si="4"/>
        <v>8.1325000000000003</v>
      </c>
      <c r="M19" s="142">
        <f t="shared" si="4"/>
        <v>386.21</v>
      </c>
      <c r="N19" s="142">
        <f t="shared" si="4"/>
        <v>65.052499999999995</v>
      </c>
      <c r="O19" s="142">
        <f t="shared" si="4"/>
        <v>89.702500000000001</v>
      </c>
      <c r="P19" s="142">
        <f t="shared" si="4"/>
        <v>24.7225</v>
      </c>
      <c r="Q19" s="142">
        <f t="shared" si="4"/>
        <v>7.91</v>
      </c>
      <c r="R19" s="142">
        <f t="shared" si="4"/>
        <v>2.8475000000000001</v>
      </c>
      <c r="S19" s="142">
        <f t="shared" si="4"/>
        <v>201.47749999999999</v>
      </c>
      <c r="T19" s="142">
        <f t="shared" si="4"/>
        <v>25.294999999999998</v>
      </c>
      <c r="U19" s="142">
        <f t="shared" si="4"/>
        <v>21.555</v>
      </c>
      <c r="V19" s="142">
        <f t="shared" si="4"/>
        <v>6.2774999999999999</v>
      </c>
    </row>
    <row r="20" spans="1:22" x14ac:dyDescent="0.15">
      <c r="A20">
        <v>4</v>
      </c>
      <c r="B20" s="9" t="s">
        <v>383</v>
      </c>
      <c r="C20" s="142">
        <f t="shared" si="3"/>
        <v>161.60333333333332</v>
      </c>
      <c r="D20" s="142">
        <f t="shared" si="4"/>
        <v>51.046666666666667</v>
      </c>
      <c r="E20" s="142">
        <f t="shared" si="4"/>
        <v>31.316666666666666</v>
      </c>
      <c r="F20" s="142">
        <f t="shared" si="4"/>
        <v>7.53</v>
      </c>
      <c r="G20" s="142">
        <f t="shared" si="4"/>
        <v>27.77</v>
      </c>
      <c r="H20" s="142">
        <f t="shared" si="4"/>
        <v>6.3433333333333337</v>
      </c>
      <c r="I20" s="142">
        <f t="shared" si="4"/>
        <v>44.36333333333333</v>
      </c>
      <c r="J20" s="142">
        <f t="shared" si="4"/>
        <v>10.220000000000001</v>
      </c>
      <c r="K20" s="142">
        <f t="shared" si="4"/>
        <v>53.940000000000005</v>
      </c>
      <c r="L20" s="142">
        <f t="shared" si="4"/>
        <v>8.1666666666666661</v>
      </c>
      <c r="M20" s="142">
        <f t="shared" si="4"/>
        <v>384.83333333333331</v>
      </c>
      <c r="N20" s="142">
        <f t="shared" si="4"/>
        <v>64.866666666666674</v>
      </c>
      <c r="O20" s="142">
        <f t="shared" si="4"/>
        <v>90.4</v>
      </c>
      <c r="P20" s="142">
        <f t="shared" si="4"/>
        <v>24.656666666666666</v>
      </c>
      <c r="Q20" s="142">
        <f t="shared" si="4"/>
        <v>7.8766666666666669</v>
      </c>
      <c r="R20" s="142">
        <f t="shared" si="4"/>
        <v>2.8466666666666667</v>
      </c>
      <c r="S20" s="142">
        <f t="shared" si="4"/>
        <v>202.62333333333333</v>
      </c>
      <c r="T20" s="142">
        <f t="shared" si="4"/>
        <v>25.23</v>
      </c>
      <c r="U20" s="142">
        <f t="shared" si="4"/>
        <v>21.763333333333332</v>
      </c>
      <c r="V20" s="142">
        <f t="shared" si="4"/>
        <v>6.32</v>
      </c>
    </row>
    <row r="21" spans="1:22" x14ac:dyDescent="0.15">
      <c r="A21">
        <v>5</v>
      </c>
      <c r="B21" s="9" t="s">
        <v>384</v>
      </c>
      <c r="C21" s="142">
        <f t="shared" si="3"/>
        <v>162.03166666666667</v>
      </c>
      <c r="D21" s="142">
        <f t="shared" si="4"/>
        <v>51.445833333333333</v>
      </c>
      <c r="E21" s="142">
        <f t="shared" si="4"/>
        <v>31.720833333333331</v>
      </c>
      <c r="F21" s="142">
        <f t="shared" si="4"/>
        <v>7.5449999999999999</v>
      </c>
      <c r="G21" s="142">
        <f t="shared" si="4"/>
        <v>27.967500000000001</v>
      </c>
      <c r="H21" s="142">
        <f t="shared" si="4"/>
        <v>6.371666666666667</v>
      </c>
      <c r="I21" s="142">
        <f t="shared" si="4"/>
        <v>44.694166666666668</v>
      </c>
      <c r="J21" s="142">
        <f t="shared" si="4"/>
        <v>10.2775</v>
      </c>
      <c r="K21" s="142">
        <f t="shared" si="4"/>
        <v>54.205000000000005</v>
      </c>
      <c r="L21" s="142">
        <f t="shared" si="4"/>
        <v>8.2008333333333319</v>
      </c>
      <c r="M21" s="142">
        <f t="shared" si="4"/>
        <v>383.45666666666665</v>
      </c>
      <c r="N21" s="142">
        <f t="shared" si="4"/>
        <v>64.680833333333339</v>
      </c>
      <c r="O21" s="142">
        <f t="shared" si="4"/>
        <v>91.097499999999997</v>
      </c>
      <c r="P21" s="142">
        <f t="shared" si="4"/>
        <v>24.590833333333332</v>
      </c>
      <c r="Q21" s="142">
        <f t="shared" si="4"/>
        <v>7.8433333333333337</v>
      </c>
      <c r="R21" s="142">
        <f t="shared" si="4"/>
        <v>2.8458333333333332</v>
      </c>
      <c r="S21" s="142">
        <f t="shared" si="4"/>
        <v>203.76916666666665</v>
      </c>
      <c r="T21" s="142">
        <f t="shared" si="4"/>
        <v>25.164999999999999</v>
      </c>
      <c r="U21" s="142">
        <f t="shared" si="4"/>
        <v>21.971666666666668</v>
      </c>
      <c r="V21" s="142">
        <f t="shared" si="4"/>
        <v>6.3625000000000007</v>
      </c>
    </row>
    <row r="22" spans="1:22" x14ac:dyDescent="0.15">
      <c r="A22">
        <v>6</v>
      </c>
      <c r="B22" s="9" t="s">
        <v>385</v>
      </c>
      <c r="C22" s="142">
        <f t="shared" si="3"/>
        <v>162.45999999999998</v>
      </c>
      <c r="D22" s="142">
        <f t="shared" si="4"/>
        <v>51.844999999999999</v>
      </c>
      <c r="E22" s="142">
        <f t="shared" si="4"/>
        <v>32.125</v>
      </c>
      <c r="F22" s="142">
        <f t="shared" si="4"/>
        <v>7.5600000000000005</v>
      </c>
      <c r="G22" s="142">
        <f t="shared" si="4"/>
        <v>28.164999999999999</v>
      </c>
      <c r="H22" s="142">
        <f t="shared" si="4"/>
        <v>6.4</v>
      </c>
      <c r="I22" s="142">
        <f t="shared" si="4"/>
        <v>45.024999999999999</v>
      </c>
      <c r="J22" s="142">
        <f t="shared" si="4"/>
        <v>10.335000000000001</v>
      </c>
      <c r="K22" s="142">
        <f t="shared" si="4"/>
        <v>54.47</v>
      </c>
      <c r="L22" s="142">
        <f t="shared" si="4"/>
        <v>8.2349999999999994</v>
      </c>
      <c r="M22" s="142">
        <f t="shared" si="4"/>
        <v>382.08</v>
      </c>
      <c r="N22" s="142">
        <f t="shared" si="4"/>
        <v>64.495000000000005</v>
      </c>
      <c r="O22" s="142">
        <f t="shared" si="4"/>
        <v>91.795000000000002</v>
      </c>
      <c r="P22" s="142">
        <f t="shared" si="4"/>
        <v>24.524999999999999</v>
      </c>
      <c r="Q22" s="142">
        <f t="shared" si="4"/>
        <v>7.8100000000000005</v>
      </c>
      <c r="R22" s="142">
        <f t="shared" si="4"/>
        <v>2.8449999999999998</v>
      </c>
      <c r="S22" s="142">
        <f t="shared" si="4"/>
        <v>204.91499999999999</v>
      </c>
      <c r="T22" s="142">
        <f t="shared" si="4"/>
        <v>25.1</v>
      </c>
      <c r="U22" s="142">
        <f t="shared" si="4"/>
        <v>22.18</v>
      </c>
      <c r="V22" s="142">
        <f t="shared" si="4"/>
        <v>6.4050000000000002</v>
      </c>
    </row>
    <row r="23" spans="1:22" x14ac:dyDescent="0.15">
      <c r="A23">
        <v>7</v>
      </c>
      <c r="B23" s="9" t="s">
        <v>386</v>
      </c>
      <c r="C23" s="142">
        <f t="shared" si="3"/>
        <v>162.88833333333332</v>
      </c>
      <c r="D23" s="142">
        <f t="shared" si="4"/>
        <v>52.244166666666672</v>
      </c>
      <c r="E23" s="142">
        <f t="shared" si="4"/>
        <v>32.529166666666669</v>
      </c>
      <c r="F23" s="142">
        <f t="shared" si="4"/>
        <v>7.5750000000000002</v>
      </c>
      <c r="G23" s="142">
        <f t="shared" si="4"/>
        <v>28.362500000000001</v>
      </c>
      <c r="H23" s="142">
        <f t="shared" si="4"/>
        <v>6.4283333333333337</v>
      </c>
      <c r="I23" s="142">
        <f t="shared" si="4"/>
        <v>45.355833333333329</v>
      </c>
      <c r="J23" s="142">
        <f t="shared" si="4"/>
        <v>10.3925</v>
      </c>
      <c r="K23" s="142">
        <f t="shared" si="4"/>
        <v>54.734999999999999</v>
      </c>
      <c r="L23" s="142">
        <f t="shared" si="4"/>
        <v>8.269166666666667</v>
      </c>
      <c r="M23" s="142">
        <f t="shared" si="4"/>
        <v>380.70333333333332</v>
      </c>
      <c r="N23" s="142">
        <f t="shared" si="4"/>
        <v>64.30916666666667</v>
      </c>
      <c r="O23" s="142">
        <f t="shared" si="4"/>
        <v>92.492500000000007</v>
      </c>
      <c r="P23" s="142">
        <f t="shared" si="4"/>
        <v>24.459166666666668</v>
      </c>
      <c r="Q23" s="142">
        <f t="shared" si="4"/>
        <v>7.7766666666666664</v>
      </c>
      <c r="R23" s="142">
        <f t="shared" si="4"/>
        <v>2.8441666666666667</v>
      </c>
      <c r="S23" s="142">
        <f t="shared" si="4"/>
        <v>206.06083333333333</v>
      </c>
      <c r="T23" s="142">
        <f t="shared" si="4"/>
        <v>25.035</v>
      </c>
      <c r="U23" s="142">
        <f t="shared" si="4"/>
        <v>22.388333333333332</v>
      </c>
      <c r="V23" s="142">
        <f t="shared" si="4"/>
        <v>6.4474999999999998</v>
      </c>
    </row>
    <row r="24" spans="1:22" x14ac:dyDescent="0.15">
      <c r="A24">
        <v>8</v>
      </c>
      <c r="B24" s="9" t="s">
        <v>387</v>
      </c>
      <c r="C24" s="142">
        <f t="shared" si="3"/>
        <v>163.31666666666666</v>
      </c>
      <c r="D24" s="142">
        <f t="shared" si="4"/>
        <v>52.643333333333338</v>
      </c>
      <c r="E24" s="142">
        <f t="shared" si="4"/>
        <v>32.93333333333333</v>
      </c>
      <c r="F24" s="142">
        <f t="shared" si="4"/>
        <v>7.59</v>
      </c>
      <c r="G24" s="142">
        <f t="shared" si="4"/>
        <v>28.560000000000002</v>
      </c>
      <c r="H24" s="142">
        <f t="shared" si="4"/>
        <v>6.456666666666667</v>
      </c>
      <c r="I24" s="142">
        <f t="shared" si="4"/>
        <v>45.686666666666667</v>
      </c>
      <c r="J24" s="142">
        <f t="shared" si="4"/>
        <v>10.45</v>
      </c>
      <c r="K24" s="142">
        <f t="shared" si="4"/>
        <v>55</v>
      </c>
      <c r="L24" s="142">
        <f t="shared" si="4"/>
        <v>8.3033333333333328</v>
      </c>
      <c r="M24" s="142">
        <f t="shared" si="4"/>
        <v>379.32666666666665</v>
      </c>
      <c r="N24" s="142">
        <f t="shared" si="4"/>
        <v>64.123333333333335</v>
      </c>
      <c r="O24" s="142">
        <f t="shared" si="4"/>
        <v>93.19</v>
      </c>
      <c r="P24" s="142">
        <f t="shared" si="4"/>
        <v>24.393333333333334</v>
      </c>
      <c r="Q24" s="142">
        <f t="shared" si="4"/>
        <v>7.7433333333333332</v>
      </c>
      <c r="R24" s="142">
        <f t="shared" si="4"/>
        <v>2.8433333333333333</v>
      </c>
      <c r="S24" s="142">
        <f t="shared" si="4"/>
        <v>207.20666666666665</v>
      </c>
      <c r="T24" s="142">
        <f t="shared" si="4"/>
        <v>24.97</v>
      </c>
      <c r="U24" s="142">
        <f t="shared" si="4"/>
        <v>22.596666666666668</v>
      </c>
      <c r="V24" s="142">
        <f t="shared" si="4"/>
        <v>6.49</v>
      </c>
    </row>
    <row r="25" spans="1:22" x14ac:dyDescent="0.15">
      <c r="A25">
        <v>9</v>
      </c>
      <c r="B25" s="9" t="s">
        <v>388</v>
      </c>
      <c r="C25" s="142">
        <f t="shared" si="3"/>
        <v>163.745</v>
      </c>
      <c r="D25" s="142">
        <f t="shared" si="4"/>
        <v>53.042500000000004</v>
      </c>
      <c r="E25" s="142">
        <f t="shared" si="4"/>
        <v>33.337499999999999</v>
      </c>
      <c r="F25" s="142">
        <f t="shared" si="4"/>
        <v>7.6050000000000004</v>
      </c>
      <c r="G25" s="142">
        <f t="shared" si="4"/>
        <v>28.7575</v>
      </c>
      <c r="H25" s="142">
        <f t="shared" si="4"/>
        <v>6.4850000000000003</v>
      </c>
      <c r="I25" s="142">
        <f t="shared" si="4"/>
        <v>46.017499999999998</v>
      </c>
      <c r="J25" s="142">
        <f t="shared" si="4"/>
        <v>10.5075</v>
      </c>
      <c r="K25" s="142">
        <f t="shared" si="4"/>
        <v>55.265000000000001</v>
      </c>
      <c r="L25" s="142">
        <f t="shared" si="4"/>
        <v>8.3374999999999986</v>
      </c>
      <c r="M25" s="142">
        <f t="shared" si="4"/>
        <v>377.95</v>
      </c>
      <c r="N25" s="142">
        <f t="shared" si="4"/>
        <v>63.9375</v>
      </c>
      <c r="O25" s="142">
        <f t="shared" si="4"/>
        <v>93.887500000000003</v>
      </c>
      <c r="P25" s="142">
        <f t="shared" si="4"/>
        <v>24.327500000000001</v>
      </c>
      <c r="Q25" s="142">
        <f t="shared" si="4"/>
        <v>7.71</v>
      </c>
      <c r="R25" s="142">
        <f t="shared" si="4"/>
        <v>2.8424999999999998</v>
      </c>
      <c r="S25" s="142">
        <f t="shared" si="4"/>
        <v>208.35249999999999</v>
      </c>
      <c r="T25" s="142">
        <f t="shared" si="4"/>
        <v>24.905000000000001</v>
      </c>
      <c r="U25" s="142">
        <f t="shared" si="4"/>
        <v>22.805</v>
      </c>
      <c r="V25" s="142">
        <f t="shared" si="4"/>
        <v>6.5325000000000006</v>
      </c>
    </row>
    <row r="26" spans="1:22" x14ac:dyDescent="0.15">
      <c r="A26">
        <v>10</v>
      </c>
      <c r="B26" s="9" t="s">
        <v>389</v>
      </c>
      <c r="C26" s="142">
        <f t="shared" si="3"/>
        <v>164.17333333333335</v>
      </c>
      <c r="D26" s="142">
        <f t="shared" si="4"/>
        <v>53.44166666666667</v>
      </c>
      <c r="E26" s="142">
        <f t="shared" si="4"/>
        <v>33.741666666666667</v>
      </c>
      <c r="F26" s="142">
        <f t="shared" si="4"/>
        <v>7.62</v>
      </c>
      <c r="G26" s="142">
        <f t="shared" si="4"/>
        <v>28.955000000000002</v>
      </c>
      <c r="H26" s="142">
        <f t="shared" si="4"/>
        <v>6.5133333333333336</v>
      </c>
      <c r="I26" s="142">
        <f t="shared" si="4"/>
        <v>46.348333333333329</v>
      </c>
      <c r="J26" s="142">
        <f t="shared" si="4"/>
        <v>10.565</v>
      </c>
      <c r="K26" s="142">
        <f t="shared" si="4"/>
        <v>55.53</v>
      </c>
      <c r="L26" s="142">
        <f t="shared" si="4"/>
        <v>8.3716666666666661</v>
      </c>
      <c r="M26" s="142">
        <f t="shared" si="4"/>
        <v>376.57333333333332</v>
      </c>
      <c r="N26" s="142">
        <f t="shared" si="4"/>
        <v>63.751666666666665</v>
      </c>
      <c r="O26" s="142">
        <f t="shared" si="4"/>
        <v>94.585000000000008</v>
      </c>
      <c r="P26" s="142">
        <f t="shared" si="4"/>
        <v>24.261666666666667</v>
      </c>
      <c r="Q26" s="142">
        <f t="shared" si="4"/>
        <v>7.6766666666666667</v>
      </c>
      <c r="R26" s="142">
        <f t="shared" si="4"/>
        <v>2.8416666666666668</v>
      </c>
      <c r="S26" s="142">
        <f t="shared" si="4"/>
        <v>209.49833333333333</v>
      </c>
      <c r="T26" s="142">
        <f t="shared" si="4"/>
        <v>24.84</v>
      </c>
      <c r="U26" s="142">
        <f t="shared" si="4"/>
        <v>23.013333333333332</v>
      </c>
      <c r="V26" s="142">
        <f t="shared" si="4"/>
        <v>6.5750000000000002</v>
      </c>
    </row>
    <row r="27" spans="1:22" x14ac:dyDescent="0.15">
      <c r="A27">
        <v>11</v>
      </c>
      <c r="B27" s="9" t="s">
        <v>390</v>
      </c>
      <c r="C27" s="142">
        <f t="shared" si="3"/>
        <v>164.60166666666666</v>
      </c>
      <c r="D27" s="142">
        <f t="shared" si="4"/>
        <v>53.840833333333336</v>
      </c>
      <c r="E27" s="142">
        <f t="shared" si="4"/>
        <v>34.145833333333329</v>
      </c>
      <c r="F27" s="142">
        <f t="shared" si="4"/>
        <v>7.6350000000000007</v>
      </c>
      <c r="G27" s="142">
        <f t="shared" si="4"/>
        <v>29.152500000000003</v>
      </c>
      <c r="H27" s="142">
        <f t="shared" si="4"/>
        <v>6.541666666666667</v>
      </c>
      <c r="I27" s="142">
        <f t="shared" si="4"/>
        <v>46.679166666666667</v>
      </c>
      <c r="J27" s="142">
        <f t="shared" si="4"/>
        <v>10.6225</v>
      </c>
      <c r="K27" s="142">
        <f t="shared" si="4"/>
        <v>55.795000000000002</v>
      </c>
      <c r="L27" s="142">
        <f t="shared" si="4"/>
        <v>8.4058333333333337</v>
      </c>
      <c r="M27" s="142">
        <f t="shared" si="4"/>
        <v>375.19666666666666</v>
      </c>
      <c r="N27" s="142">
        <f t="shared" si="4"/>
        <v>63.565833333333337</v>
      </c>
      <c r="O27" s="142">
        <f t="shared" si="4"/>
        <v>95.282499999999999</v>
      </c>
      <c r="P27" s="142">
        <f t="shared" si="4"/>
        <v>24.195833333333333</v>
      </c>
      <c r="Q27" s="142">
        <f t="shared" si="4"/>
        <v>7.6433333333333335</v>
      </c>
      <c r="R27" s="142">
        <f t="shared" si="4"/>
        <v>2.8408333333333333</v>
      </c>
      <c r="S27" s="142">
        <f t="shared" si="4"/>
        <v>210.64416666666665</v>
      </c>
      <c r="T27" s="142">
        <f t="shared" si="4"/>
        <v>24.775000000000002</v>
      </c>
      <c r="U27" s="142">
        <f t="shared" si="4"/>
        <v>23.221666666666668</v>
      </c>
      <c r="V27" s="142">
        <f t="shared" si="4"/>
        <v>6.6174999999999997</v>
      </c>
    </row>
    <row r="28" spans="1:22" x14ac:dyDescent="0.15">
      <c r="B28" s="9" t="s">
        <v>391</v>
      </c>
      <c r="C28" s="142">
        <f>熊本県基準値!B8</f>
        <v>165.03</v>
      </c>
      <c r="D28" s="142">
        <f>熊本県基準値!C8</f>
        <v>54.24</v>
      </c>
      <c r="E28" s="143">
        <f>熊本県基準値!D8</f>
        <v>34.549999999999997</v>
      </c>
      <c r="F28" s="143">
        <f>熊本県基準値!E8</f>
        <v>7.65</v>
      </c>
      <c r="G28" s="143">
        <f>熊本県基準値!F8</f>
        <v>29.35</v>
      </c>
      <c r="H28" s="143">
        <f>熊本県基準値!G8</f>
        <v>6.57</v>
      </c>
      <c r="I28" s="143">
        <f>熊本県基準値!H8</f>
        <v>47.01</v>
      </c>
      <c r="J28" s="143">
        <f>熊本県基準値!I8</f>
        <v>10.68</v>
      </c>
      <c r="K28" s="144">
        <f>熊本県基準値!J8</f>
        <v>56.06</v>
      </c>
      <c r="L28" s="144">
        <f>熊本県基準値!K8</f>
        <v>8.44</v>
      </c>
      <c r="M28" s="142">
        <f>熊本県基準値!L8</f>
        <v>373.82</v>
      </c>
      <c r="N28" s="142">
        <f>熊本県基準値!M8</f>
        <v>63.38</v>
      </c>
      <c r="O28" s="144">
        <f>熊本県基準値!N8</f>
        <v>95.98</v>
      </c>
      <c r="P28" s="144">
        <f>熊本県基準値!O8</f>
        <v>24.13</v>
      </c>
      <c r="Q28" s="143">
        <f>熊本県基準値!P8</f>
        <v>7.61</v>
      </c>
      <c r="R28" s="143">
        <f>熊本県基準値!Q8</f>
        <v>2.84</v>
      </c>
      <c r="S28" s="142">
        <f>熊本県基準値!R8</f>
        <v>211.79</v>
      </c>
      <c r="T28" s="142">
        <f>熊本県基準値!S8</f>
        <v>24.71</v>
      </c>
      <c r="U28" s="142">
        <f>熊本県基準値!T8</f>
        <v>23.43</v>
      </c>
      <c r="V28" s="142">
        <f>熊本県基準値!U8</f>
        <v>6.66</v>
      </c>
    </row>
    <row r="29" spans="1:22" x14ac:dyDescent="0.15">
      <c r="A29">
        <v>1</v>
      </c>
      <c r="B29" s="9" t="s">
        <v>392</v>
      </c>
      <c r="C29" s="142">
        <f t="shared" ref="C29:C39" si="6">(C$40-C$28)/12*$A29+C$28</f>
        <v>165.26583333333335</v>
      </c>
      <c r="D29" s="142">
        <f t="shared" ref="D29:V39" si="7">(D$40-D$28)/12*$A29+D$28</f>
        <v>54.61</v>
      </c>
      <c r="E29" s="142">
        <f t="shared" si="7"/>
        <v>34.702500000000001</v>
      </c>
      <c r="F29" s="142">
        <f t="shared" si="7"/>
        <v>7.5575000000000001</v>
      </c>
      <c r="G29" s="142">
        <f t="shared" si="7"/>
        <v>29.330000000000002</v>
      </c>
      <c r="H29" s="142">
        <f t="shared" si="7"/>
        <v>6.4716666666666667</v>
      </c>
      <c r="I29" s="142">
        <f t="shared" si="7"/>
        <v>47.05</v>
      </c>
      <c r="J29" s="142">
        <f t="shared" si="7"/>
        <v>10.635</v>
      </c>
      <c r="K29" s="142">
        <f t="shared" si="7"/>
        <v>56.037500000000001</v>
      </c>
      <c r="L29" s="142">
        <f t="shared" si="7"/>
        <v>8.2616666666666667</v>
      </c>
      <c r="M29" s="142">
        <f t="shared" si="7"/>
        <v>374.55166666666668</v>
      </c>
      <c r="N29" s="142">
        <f t="shared" si="7"/>
        <v>63.07</v>
      </c>
      <c r="O29" s="142">
        <f t="shared" si="7"/>
        <v>95.194166666666675</v>
      </c>
      <c r="P29" s="142">
        <f t="shared" si="7"/>
        <v>23.966666666666665</v>
      </c>
      <c r="Q29" s="142">
        <f t="shared" si="7"/>
        <v>7.604166666666667</v>
      </c>
      <c r="R29" s="142">
        <f t="shared" si="7"/>
        <v>2.6549999999999998</v>
      </c>
      <c r="S29" s="142">
        <f t="shared" si="7"/>
        <v>212.09166666666667</v>
      </c>
      <c r="T29" s="142">
        <f t="shared" si="7"/>
        <v>24.541666666666668</v>
      </c>
      <c r="U29" s="142">
        <f t="shared" si="7"/>
        <v>23.459166666666668</v>
      </c>
      <c r="V29" s="142">
        <f t="shared" si="7"/>
        <v>6.5633333333333335</v>
      </c>
    </row>
    <row r="30" spans="1:22" x14ac:dyDescent="0.15">
      <c r="A30">
        <v>2</v>
      </c>
      <c r="B30" s="9" t="s">
        <v>393</v>
      </c>
      <c r="C30" s="142">
        <f t="shared" si="6"/>
        <v>165.50166666666667</v>
      </c>
      <c r="D30" s="142">
        <f t="shared" ref="D30:R30" si="8">(D$40-D$28)/12*$A30+D$28</f>
        <v>54.980000000000004</v>
      </c>
      <c r="E30" s="142">
        <f t="shared" si="8"/>
        <v>34.854999999999997</v>
      </c>
      <c r="F30" s="142">
        <f t="shared" si="8"/>
        <v>7.4649999999999999</v>
      </c>
      <c r="G30" s="142">
        <f t="shared" si="8"/>
        <v>29.310000000000002</v>
      </c>
      <c r="H30" s="142">
        <f t="shared" si="8"/>
        <v>6.3733333333333331</v>
      </c>
      <c r="I30" s="142">
        <f t="shared" si="8"/>
        <v>47.089999999999996</v>
      </c>
      <c r="J30" s="142">
        <f t="shared" si="8"/>
        <v>10.59</v>
      </c>
      <c r="K30" s="142">
        <f t="shared" si="8"/>
        <v>56.015000000000001</v>
      </c>
      <c r="L30" s="142">
        <f t="shared" si="8"/>
        <v>8.0833333333333321</v>
      </c>
      <c r="M30" s="142">
        <f t="shared" si="8"/>
        <v>375.2833333333333</v>
      </c>
      <c r="N30" s="142">
        <f t="shared" si="8"/>
        <v>62.760000000000005</v>
      </c>
      <c r="O30" s="142">
        <f t="shared" si="8"/>
        <v>94.408333333333331</v>
      </c>
      <c r="P30" s="142">
        <f t="shared" si="8"/>
        <v>23.803333333333335</v>
      </c>
      <c r="Q30" s="142">
        <f t="shared" si="8"/>
        <v>7.5983333333333336</v>
      </c>
      <c r="R30" s="142">
        <f t="shared" si="8"/>
        <v>2.4699999999999998</v>
      </c>
      <c r="S30" s="142">
        <f t="shared" si="7"/>
        <v>212.39333333333332</v>
      </c>
      <c r="T30" s="142">
        <f t="shared" si="7"/>
        <v>24.373333333333335</v>
      </c>
      <c r="U30" s="142">
        <f t="shared" si="7"/>
        <v>23.488333333333333</v>
      </c>
      <c r="V30" s="142">
        <f t="shared" si="7"/>
        <v>6.4666666666666668</v>
      </c>
    </row>
    <row r="31" spans="1:22" x14ac:dyDescent="0.15">
      <c r="A31">
        <v>3</v>
      </c>
      <c r="B31" s="9" t="s">
        <v>394</v>
      </c>
      <c r="C31" s="142">
        <f t="shared" si="6"/>
        <v>165.73750000000001</v>
      </c>
      <c r="D31" s="142">
        <f t="shared" si="7"/>
        <v>55.35</v>
      </c>
      <c r="E31" s="142">
        <f t="shared" si="7"/>
        <v>35.0075</v>
      </c>
      <c r="F31" s="142">
        <f t="shared" si="7"/>
        <v>7.3725000000000005</v>
      </c>
      <c r="G31" s="142">
        <f t="shared" si="7"/>
        <v>29.29</v>
      </c>
      <c r="H31" s="142">
        <f t="shared" si="7"/>
        <v>6.2750000000000004</v>
      </c>
      <c r="I31" s="142">
        <f t="shared" si="7"/>
        <v>47.129999999999995</v>
      </c>
      <c r="J31" s="142">
        <f t="shared" si="7"/>
        <v>10.545</v>
      </c>
      <c r="K31" s="142">
        <f t="shared" si="7"/>
        <v>55.9925</v>
      </c>
      <c r="L31" s="142">
        <f t="shared" si="7"/>
        <v>7.9049999999999994</v>
      </c>
      <c r="M31" s="142">
        <f t="shared" si="7"/>
        <v>376.01499999999999</v>
      </c>
      <c r="N31" s="142">
        <f t="shared" si="7"/>
        <v>62.45</v>
      </c>
      <c r="O31" s="142">
        <f t="shared" si="7"/>
        <v>93.622500000000002</v>
      </c>
      <c r="P31" s="142">
        <f t="shared" si="7"/>
        <v>23.64</v>
      </c>
      <c r="Q31" s="142">
        <f t="shared" si="7"/>
        <v>7.5925000000000002</v>
      </c>
      <c r="R31" s="142">
        <f t="shared" si="7"/>
        <v>2.2850000000000001</v>
      </c>
      <c r="S31" s="142">
        <f t="shared" si="7"/>
        <v>212.69499999999999</v>
      </c>
      <c r="T31" s="142">
        <f t="shared" si="7"/>
        <v>24.205000000000002</v>
      </c>
      <c r="U31" s="142">
        <f t="shared" si="7"/>
        <v>23.517499999999998</v>
      </c>
      <c r="V31" s="142">
        <f t="shared" si="7"/>
        <v>6.37</v>
      </c>
    </row>
    <row r="32" spans="1:22" x14ac:dyDescent="0.15">
      <c r="A32">
        <v>4</v>
      </c>
      <c r="B32" s="9" t="s">
        <v>395</v>
      </c>
      <c r="C32" s="142">
        <f t="shared" si="6"/>
        <v>165.97333333333333</v>
      </c>
      <c r="D32" s="142">
        <f t="shared" si="7"/>
        <v>55.72</v>
      </c>
      <c r="E32" s="142">
        <f t="shared" si="7"/>
        <v>35.159999999999997</v>
      </c>
      <c r="F32" s="142">
        <f t="shared" si="7"/>
        <v>7.28</v>
      </c>
      <c r="G32" s="142">
        <f t="shared" si="7"/>
        <v>29.27</v>
      </c>
      <c r="H32" s="142">
        <f t="shared" si="7"/>
        <v>6.1766666666666667</v>
      </c>
      <c r="I32" s="142">
        <f t="shared" si="7"/>
        <v>47.17</v>
      </c>
      <c r="J32" s="142">
        <f t="shared" si="7"/>
        <v>10.5</v>
      </c>
      <c r="K32" s="142">
        <f t="shared" si="7"/>
        <v>55.97</v>
      </c>
      <c r="L32" s="142">
        <f t="shared" si="7"/>
        <v>7.7266666666666666</v>
      </c>
      <c r="M32" s="142">
        <f t="shared" si="7"/>
        <v>376.74666666666667</v>
      </c>
      <c r="N32" s="142">
        <f t="shared" si="7"/>
        <v>62.14</v>
      </c>
      <c r="O32" s="142">
        <f t="shared" si="7"/>
        <v>92.836666666666673</v>
      </c>
      <c r="P32" s="142">
        <f t="shared" si="7"/>
        <v>23.476666666666667</v>
      </c>
      <c r="Q32" s="142">
        <f t="shared" si="7"/>
        <v>7.5866666666666669</v>
      </c>
      <c r="R32" s="142">
        <f t="shared" si="7"/>
        <v>2.1</v>
      </c>
      <c r="S32" s="142">
        <f t="shared" si="7"/>
        <v>212.99666666666667</v>
      </c>
      <c r="T32" s="142">
        <f t="shared" si="7"/>
        <v>24.036666666666669</v>
      </c>
      <c r="U32" s="142">
        <f t="shared" si="7"/>
        <v>23.546666666666667</v>
      </c>
      <c r="V32" s="142">
        <f t="shared" si="7"/>
        <v>6.2733333333333334</v>
      </c>
    </row>
    <row r="33" spans="1:22" x14ac:dyDescent="0.15">
      <c r="A33">
        <v>5</v>
      </c>
      <c r="B33" s="9" t="s">
        <v>396</v>
      </c>
      <c r="C33" s="142">
        <f t="shared" si="6"/>
        <v>166.20916666666668</v>
      </c>
      <c r="D33" s="142">
        <f t="shared" si="7"/>
        <v>56.09</v>
      </c>
      <c r="E33" s="142">
        <f t="shared" si="7"/>
        <v>35.3125</v>
      </c>
      <c r="F33" s="142">
        <f t="shared" si="7"/>
        <v>7.1875</v>
      </c>
      <c r="G33" s="142">
        <f t="shared" si="7"/>
        <v>29.25</v>
      </c>
      <c r="H33" s="142">
        <f t="shared" si="7"/>
        <v>6.0783333333333331</v>
      </c>
      <c r="I33" s="142">
        <f t="shared" si="7"/>
        <v>47.21</v>
      </c>
      <c r="J33" s="142">
        <f t="shared" si="7"/>
        <v>10.455</v>
      </c>
      <c r="K33" s="142">
        <f t="shared" si="7"/>
        <v>55.947499999999998</v>
      </c>
      <c r="L33" s="142">
        <f t="shared" si="7"/>
        <v>7.5483333333333329</v>
      </c>
      <c r="M33" s="142">
        <f t="shared" si="7"/>
        <v>377.47833333333335</v>
      </c>
      <c r="N33" s="142">
        <f t="shared" si="7"/>
        <v>61.83</v>
      </c>
      <c r="O33" s="142">
        <f t="shared" si="7"/>
        <v>92.05083333333333</v>
      </c>
      <c r="P33" s="142">
        <f t="shared" si="7"/>
        <v>23.313333333333333</v>
      </c>
      <c r="Q33" s="142">
        <f t="shared" si="7"/>
        <v>7.5808333333333335</v>
      </c>
      <c r="R33" s="142">
        <f t="shared" si="7"/>
        <v>1.915</v>
      </c>
      <c r="S33" s="142">
        <f t="shared" si="7"/>
        <v>213.29833333333332</v>
      </c>
      <c r="T33" s="142">
        <f t="shared" si="7"/>
        <v>23.868333333333336</v>
      </c>
      <c r="U33" s="142">
        <f t="shared" si="7"/>
        <v>23.575833333333335</v>
      </c>
      <c r="V33" s="142">
        <f t="shared" si="7"/>
        <v>6.1766666666666667</v>
      </c>
    </row>
    <row r="34" spans="1:22" x14ac:dyDescent="0.15">
      <c r="A34">
        <v>6</v>
      </c>
      <c r="B34" s="9" t="s">
        <v>397</v>
      </c>
      <c r="C34" s="142">
        <f t="shared" si="6"/>
        <v>166.44499999999999</v>
      </c>
      <c r="D34" s="142">
        <f t="shared" si="7"/>
        <v>56.46</v>
      </c>
      <c r="E34" s="142">
        <f t="shared" si="7"/>
        <v>35.465000000000003</v>
      </c>
      <c r="F34" s="142">
        <f t="shared" si="7"/>
        <v>7.0950000000000006</v>
      </c>
      <c r="G34" s="142">
        <f t="shared" si="7"/>
        <v>29.23</v>
      </c>
      <c r="H34" s="142">
        <f t="shared" si="7"/>
        <v>5.98</v>
      </c>
      <c r="I34" s="142">
        <f t="shared" si="7"/>
        <v>47.25</v>
      </c>
      <c r="J34" s="142">
        <f t="shared" si="7"/>
        <v>10.41</v>
      </c>
      <c r="K34" s="142">
        <f t="shared" si="7"/>
        <v>55.924999999999997</v>
      </c>
      <c r="L34" s="142">
        <f t="shared" si="7"/>
        <v>7.3699999999999992</v>
      </c>
      <c r="M34" s="142">
        <f t="shared" si="7"/>
        <v>378.21000000000004</v>
      </c>
      <c r="N34" s="142">
        <f t="shared" si="7"/>
        <v>61.519999999999996</v>
      </c>
      <c r="O34" s="142">
        <f t="shared" si="7"/>
        <v>91.265000000000001</v>
      </c>
      <c r="P34" s="142">
        <f t="shared" si="7"/>
        <v>23.15</v>
      </c>
      <c r="Q34" s="142">
        <f t="shared" si="7"/>
        <v>7.5750000000000002</v>
      </c>
      <c r="R34" s="142">
        <f t="shared" si="7"/>
        <v>1.73</v>
      </c>
      <c r="S34" s="142">
        <f t="shared" si="7"/>
        <v>213.6</v>
      </c>
      <c r="T34" s="142">
        <f t="shared" si="7"/>
        <v>23.700000000000003</v>
      </c>
      <c r="U34" s="142">
        <f t="shared" si="7"/>
        <v>23.605</v>
      </c>
      <c r="V34" s="142">
        <f t="shared" si="7"/>
        <v>6.08</v>
      </c>
    </row>
    <row r="35" spans="1:22" x14ac:dyDescent="0.15">
      <c r="A35">
        <v>7</v>
      </c>
      <c r="B35" s="9" t="s">
        <v>398</v>
      </c>
      <c r="C35" s="142">
        <f t="shared" si="6"/>
        <v>166.68083333333334</v>
      </c>
      <c r="D35" s="142">
        <f t="shared" si="7"/>
        <v>56.83</v>
      </c>
      <c r="E35" s="142">
        <f t="shared" si="7"/>
        <v>35.6175</v>
      </c>
      <c r="F35" s="142">
        <f t="shared" si="7"/>
        <v>7.0025000000000004</v>
      </c>
      <c r="G35" s="142">
        <f t="shared" si="7"/>
        <v>29.21</v>
      </c>
      <c r="H35" s="142">
        <f t="shared" si="7"/>
        <v>5.8816666666666668</v>
      </c>
      <c r="I35" s="142">
        <f t="shared" si="7"/>
        <v>47.29</v>
      </c>
      <c r="J35" s="142">
        <f t="shared" si="7"/>
        <v>10.365</v>
      </c>
      <c r="K35" s="142">
        <f t="shared" si="7"/>
        <v>55.902500000000003</v>
      </c>
      <c r="L35" s="142">
        <f t="shared" si="7"/>
        <v>7.1916666666666664</v>
      </c>
      <c r="M35" s="142">
        <f t="shared" si="7"/>
        <v>378.94166666666666</v>
      </c>
      <c r="N35" s="142">
        <f t="shared" si="7"/>
        <v>61.21</v>
      </c>
      <c r="O35" s="142">
        <f t="shared" si="7"/>
        <v>90.479166666666671</v>
      </c>
      <c r="P35" s="142">
        <f t="shared" si="7"/>
        <v>22.986666666666668</v>
      </c>
      <c r="Q35" s="142">
        <f t="shared" si="7"/>
        <v>7.5691666666666668</v>
      </c>
      <c r="R35" s="142">
        <f t="shared" si="7"/>
        <v>1.5450000000000002</v>
      </c>
      <c r="S35" s="142">
        <f t="shared" si="7"/>
        <v>213.90166666666667</v>
      </c>
      <c r="T35" s="142">
        <f t="shared" si="7"/>
        <v>23.531666666666666</v>
      </c>
      <c r="U35" s="142">
        <f t="shared" si="7"/>
        <v>23.634166666666665</v>
      </c>
      <c r="V35" s="142">
        <f t="shared" si="7"/>
        <v>5.9833333333333334</v>
      </c>
    </row>
    <row r="36" spans="1:22" x14ac:dyDescent="0.15">
      <c r="A36">
        <v>8</v>
      </c>
      <c r="B36" s="9" t="s">
        <v>399</v>
      </c>
      <c r="C36" s="142">
        <f t="shared" si="6"/>
        <v>166.91666666666669</v>
      </c>
      <c r="D36" s="142">
        <f t="shared" si="7"/>
        <v>57.2</v>
      </c>
      <c r="E36" s="142">
        <f t="shared" si="7"/>
        <v>35.770000000000003</v>
      </c>
      <c r="F36" s="142">
        <f t="shared" si="7"/>
        <v>6.91</v>
      </c>
      <c r="G36" s="142">
        <f t="shared" si="7"/>
        <v>29.19</v>
      </c>
      <c r="H36" s="142">
        <f t="shared" si="7"/>
        <v>5.7833333333333332</v>
      </c>
      <c r="I36" s="142">
        <f t="shared" si="7"/>
        <v>47.33</v>
      </c>
      <c r="J36" s="142">
        <f t="shared" si="7"/>
        <v>10.32</v>
      </c>
      <c r="K36" s="142">
        <f t="shared" si="7"/>
        <v>55.88</v>
      </c>
      <c r="L36" s="142">
        <f t="shared" si="7"/>
        <v>7.0133333333333328</v>
      </c>
      <c r="M36" s="142">
        <f t="shared" si="7"/>
        <v>379.67333333333335</v>
      </c>
      <c r="N36" s="142">
        <f t="shared" si="7"/>
        <v>60.9</v>
      </c>
      <c r="O36" s="142">
        <f t="shared" si="7"/>
        <v>89.693333333333328</v>
      </c>
      <c r="P36" s="142">
        <f t="shared" si="7"/>
        <v>22.823333333333334</v>
      </c>
      <c r="Q36" s="142">
        <f t="shared" si="7"/>
        <v>7.5633333333333335</v>
      </c>
      <c r="R36" s="142">
        <f t="shared" si="7"/>
        <v>1.36</v>
      </c>
      <c r="S36" s="142">
        <f t="shared" si="7"/>
        <v>214.20333333333332</v>
      </c>
      <c r="T36" s="142">
        <f t="shared" si="7"/>
        <v>23.363333333333333</v>
      </c>
      <c r="U36" s="142">
        <f t="shared" si="7"/>
        <v>23.663333333333334</v>
      </c>
      <c r="V36" s="142">
        <f t="shared" si="7"/>
        <v>5.8866666666666667</v>
      </c>
    </row>
    <row r="37" spans="1:22" x14ac:dyDescent="0.15">
      <c r="A37">
        <v>9</v>
      </c>
      <c r="B37" s="9" t="s">
        <v>400</v>
      </c>
      <c r="C37" s="142">
        <f t="shared" si="6"/>
        <v>167.1525</v>
      </c>
      <c r="D37" s="142">
        <f t="shared" si="7"/>
        <v>57.57</v>
      </c>
      <c r="E37" s="142">
        <f t="shared" si="7"/>
        <v>35.922499999999999</v>
      </c>
      <c r="F37" s="142">
        <f t="shared" si="7"/>
        <v>6.8174999999999999</v>
      </c>
      <c r="G37" s="142">
        <f t="shared" si="7"/>
        <v>29.17</v>
      </c>
      <c r="H37" s="142">
        <f t="shared" si="7"/>
        <v>5.6849999999999996</v>
      </c>
      <c r="I37" s="142">
        <f t="shared" si="7"/>
        <v>47.370000000000005</v>
      </c>
      <c r="J37" s="142">
        <f t="shared" si="7"/>
        <v>10.275</v>
      </c>
      <c r="K37" s="142">
        <f t="shared" si="7"/>
        <v>55.857500000000002</v>
      </c>
      <c r="L37" s="142">
        <f t="shared" si="7"/>
        <v>6.835</v>
      </c>
      <c r="M37" s="142">
        <f t="shared" si="7"/>
        <v>380.40500000000003</v>
      </c>
      <c r="N37" s="142">
        <f t="shared" si="7"/>
        <v>60.589999999999996</v>
      </c>
      <c r="O37" s="142">
        <f t="shared" si="7"/>
        <v>88.907499999999999</v>
      </c>
      <c r="P37" s="142">
        <f t="shared" si="7"/>
        <v>22.66</v>
      </c>
      <c r="Q37" s="142">
        <f t="shared" si="7"/>
        <v>7.5575000000000001</v>
      </c>
      <c r="R37" s="142">
        <f t="shared" si="7"/>
        <v>1.175</v>
      </c>
      <c r="S37" s="142">
        <f t="shared" si="7"/>
        <v>214.505</v>
      </c>
      <c r="T37" s="142">
        <f t="shared" si="7"/>
        <v>23.195</v>
      </c>
      <c r="U37" s="142">
        <f t="shared" si="7"/>
        <v>23.692500000000003</v>
      </c>
      <c r="V37" s="142">
        <f t="shared" si="7"/>
        <v>5.79</v>
      </c>
    </row>
    <row r="38" spans="1:22" x14ac:dyDescent="0.15">
      <c r="A38">
        <v>10</v>
      </c>
      <c r="B38" s="9" t="s">
        <v>401</v>
      </c>
      <c r="C38" s="142">
        <f t="shared" si="6"/>
        <v>167.38833333333335</v>
      </c>
      <c r="D38" s="142">
        <f t="shared" si="7"/>
        <v>57.94</v>
      </c>
      <c r="E38" s="142">
        <f t="shared" si="7"/>
        <v>36.075000000000003</v>
      </c>
      <c r="F38" s="142">
        <f t="shared" si="7"/>
        <v>6.7249999999999996</v>
      </c>
      <c r="G38" s="142">
        <f t="shared" si="7"/>
        <v>29.15</v>
      </c>
      <c r="H38" s="142">
        <f t="shared" si="7"/>
        <v>5.586666666666666</v>
      </c>
      <c r="I38" s="142">
        <f t="shared" si="7"/>
        <v>47.410000000000004</v>
      </c>
      <c r="J38" s="142">
        <f t="shared" si="7"/>
        <v>10.23</v>
      </c>
      <c r="K38" s="142">
        <f t="shared" si="7"/>
        <v>55.835000000000001</v>
      </c>
      <c r="L38" s="142">
        <f t="shared" si="7"/>
        <v>6.6566666666666663</v>
      </c>
      <c r="M38" s="142">
        <f t="shared" si="7"/>
        <v>381.13666666666666</v>
      </c>
      <c r="N38" s="142">
        <f t="shared" si="7"/>
        <v>60.28</v>
      </c>
      <c r="O38" s="142">
        <f t="shared" si="7"/>
        <v>88.12166666666667</v>
      </c>
      <c r="P38" s="142">
        <f t="shared" si="7"/>
        <v>22.49666666666667</v>
      </c>
      <c r="Q38" s="142">
        <f t="shared" si="7"/>
        <v>7.5516666666666667</v>
      </c>
      <c r="R38" s="142">
        <f t="shared" si="7"/>
        <v>0.99000000000000021</v>
      </c>
      <c r="S38" s="142">
        <f t="shared" si="7"/>
        <v>214.80666666666667</v>
      </c>
      <c r="T38" s="142">
        <f t="shared" si="7"/>
        <v>23.026666666666667</v>
      </c>
      <c r="U38" s="142">
        <f t="shared" si="7"/>
        <v>23.721666666666668</v>
      </c>
      <c r="V38" s="142">
        <f t="shared" si="7"/>
        <v>5.6933333333333334</v>
      </c>
    </row>
    <row r="39" spans="1:22" x14ac:dyDescent="0.15">
      <c r="A39">
        <v>11</v>
      </c>
      <c r="B39" s="9" t="s">
        <v>402</v>
      </c>
      <c r="C39" s="142">
        <f t="shared" si="6"/>
        <v>167.62416666666667</v>
      </c>
      <c r="D39" s="142">
        <f t="shared" si="7"/>
        <v>58.31</v>
      </c>
      <c r="E39" s="142">
        <f t="shared" si="7"/>
        <v>36.227499999999999</v>
      </c>
      <c r="F39" s="142">
        <f t="shared" si="7"/>
        <v>6.6325000000000003</v>
      </c>
      <c r="G39" s="142">
        <f t="shared" si="7"/>
        <v>29.13</v>
      </c>
      <c r="H39" s="142">
        <f t="shared" si="7"/>
        <v>5.4883333333333333</v>
      </c>
      <c r="I39" s="142">
        <f t="shared" si="7"/>
        <v>47.45</v>
      </c>
      <c r="J39" s="142">
        <f t="shared" si="7"/>
        <v>10.185</v>
      </c>
      <c r="K39" s="142">
        <f t="shared" si="7"/>
        <v>55.8125</v>
      </c>
      <c r="L39" s="142">
        <f t="shared" si="7"/>
        <v>6.4783333333333335</v>
      </c>
      <c r="M39" s="142">
        <f t="shared" si="7"/>
        <v>381.86833333333334</v>
      </c>
      <c r="N39" s="142">
        <f t="shared" si="7"/>
        <v>59.97</v>
      </c>
      <c r="O39" s="142">
        <f t="shared" si="7"/>
        <v>87.335833333333326</v>
      </c>
      <c r="P39" s="142">
        <f t="shared" si="7"/>
        <v>22.333333333333336</v>
      </c>
      <c r="Q39" s="142">
        <f t="shared" si="7"/>
        <v>7.5458333333333334</v>
      </c>
      <c r="R39" s="142">
        <f t="shared" si="7"/>
        <v>0.80500000000000016</v>
      </c>
      <c r="S39" s="142">
        <f t="shared" si="7"/>
        <v>215.10833333333332</v>
      </c>
      <c r="T39" s="142">
        <f t="shared" si="7"/>
        <v>22.858333333333334</v>
      </c>
      <c r="U39" s="142">
        <f t="shared" si="7"/>
        <v>23.750833333333333</v>
      </c>
      <c r="V39" s="142">
        <f t="shared" si="7"/>
        <v>5.5966666666666667</v>
      </c>
    </row>
    <row r="40" spans="1:22" x14ac:dyDescent="0.15">
      <c r="B40" s="9" t="s">
        <v>403</v>
      </c>
      <c r="C40" s="142">
        <f>熊本県基準値!B9</f>
        <v>167.86</v>
      </c>
      <c r="D40" s="142">
        <f>熊本県基準値!C9</f>
        <v>58.68</v>
      </c>
      <c r="E40" s="143">
        <f>熊本県基準値!D9</f>
        <v>36.380000000000003</v>
      </c>
      <c r="F40" s="143">
        <f>熊本県基準値!E9</f>
        <v>6.54</v>
      </c>
      <c r="G40" s="143">
        <f>熊本県基準値!F9</f>
        <v>29.11</v>
      </c>
      <c r="H40" s="143">
        <f>熊本県基準値!G9</f>
        <v>5.39</v>
      </c>
      <c r="I40" s="143">
        <f>熊本県基準値!H9</f>
        <v>47.49</v>
      </c>
      <c r="J40" s="143">
        <f>熊本県基準値!I9</f>
        <v>10.14</v>
      </c>
      <c r="K40" s="144">
        <f>熊本県基準値!J9</f>
        <v>55.79</v>
      </c>
      <c r="L40" s="144">
        <f>熊本県基準値!K9</f>
        <v>6.3</v>
      </c>
      <c r="M40" s="142">
        <f>熊本県基準値!L9</f>
        <v>382.6</v>
      </c>
      <c r="N40" s="142">
        <f>熊本県基準値!M9</f>
        <v>59.66</v>
      </c>
      <c r="O40" s="144">
        <f>熊本県基準値!N9</f>
        <v>86.55</v>
      </c>
      <c r="P40" s="144">
        <f>熊本県基準値!O9</f>
        <v>22.17</v>
      </c>
      <c r="Q40" s="143">
        <f>熊本県基準値!P9</f>
        <v>7.54</v>
      </c>
      <c r="R40" s="143">
        <f>熊本県基準値!Q9</f>
        <v>0.62</v>
      </c>
      <c r="S40" s="142">
        <f>熊本県基準値!R9</f>
        <v>215.41</v>
      </c>
      <c r="T40" s="142">
        <f>熊本県基準値!S9</f>
        <v>22.69</v>
      </c>
      <c r="U40" s="142">
        <f>熊本県基準値!T9</f>
        <v>23.78</v>
      </c>
      <c r="V40" s="142">
        <f>熊本県基準値!U9</f>
        <v>5.5</v>
      </c>
    </row>
    <row r="41" spans="1:22" x14ac:dyDescent="0.15">
      <c r="A41">
        <v>1</v>
      </c>
      <c r="B41" s="9" t="s">
        <v>404</v>
      </c>
      <c r="C41" s="142">
        <f t="shared" ref="C41:C51" si="9">(C$52-C$40)/12*$A41+C$40</f>
        <v>167.98250000000002</v>
      </c>
      <c r="D41" s="142">
        <f t="shared" ref="D41:V51" si="10">(D$52-D$40)/12*$A41+D$40</f>
        <v>58.837499999999999</v>
      </c>
      <c r="E41" s="142">
        <f t="shared" si="10"/>
        <v>36.609166666666667</v>
      </c>
      <c r="F41" s="142">
        <f t="shared" si="10"/>
        <v>6.5558333333333332</v>
      </c>
      <c r="G41" s="142">
        <f t="shared" si="10"/>
        <v>29.316666666666666</v>
      </c>
      <c r="H41" s="142">
        <f t="shared" si="10"/>
        <v>5.3983333333333334</v>
      </c>
      <c r="I41" s="142">
        <f t="shared" si="10"/>
        <v>47.725000000000001</v>
      </c>
      <c r="J41" s="142">
        <f t="shared" si="10"/>
        <v>10.144166666666667</v>
      </c>
      <c r="K41" s="142">
        <f t="shared" si="10"/>
        <v>55.953333333333333</v>
      </c>
      <c r="L41" s="142">
        <f t="shared" si="10"/>
        <v>6.2949999999999999</v>
      </c>
      <c r="M41" s="142">
        <f t="shared" si="10"/>
        <v>381.86250000000001</v>
      </c>
      <c r="N41" s="142">
        <f t="shared" si="10"/>
        <v>59.662499999999994</v>
      </c>
      <c r="O41" s="142">
        <f t="shared" si="10"/>
        <v>87.192499999999995</v>
      </c>
      <c r="P41" s="142">
        <f t="shared" si="10"/>
        <v>22.21</v>
      </c>
      <c r="Q41" s="142">
        <f t="shared" si="10"/>
        <v>7.5241666666666669</v>
      </c>
      <c r="R41" s="142">
        <f t="shared" si="10"/>
        <v>0.61916666666666664</v>
      </c>
      <c r="S41" s="142">
        <f t="shared" si="10"/>
        <v>216.0625</v>
      </c>
      <c r="T41" s="142">
        <f t="shared" si="10"/>
        <v>22.6525</v>
      </c>
      <c r="U41" s="142">
        <f t="shared" si="10"/>
        <v>23.933333333333334</v>
      </c>
      <c r="V41" s="142">
        <f t="shared" si="10"/>
        <v>5.5350000000000001</v>
      </c>
    </row>
    <row r="42" spans="1:22" x14ac:dyDescent="0.15">
      <c r="A42">
        <v>2</v>
      </c>
      <c r="B42" s="9" t="s">
        <v>405</v>
      </c>
      <c r="C42" s="142">
        <f t="shared" si="9"/>
        <v>168.10500000000002</v>
      </c>
      <c r="D42" s="142">
        <f t="shared" ref="D42:R42" si="11">(D$52-D$40)/12*$A42+D$40</f>
        <v>58.994999999999997</v>
      </c>
      <c r="E42" s="142">
        <f t="shared" si="11"/>
        <v>36.838333333333338</v>
      </c>
      <c r="F42" s="142">
        <f t="shared" si="11"/>
        <v>6.5716666666666672</v>
      </c>
      <c r="G42" s="142">
        <f t="shared" si="11"/>
        <v>29.523333333333333</v>
      </c>
      <c r="H42" s="142">
        <f t="shared" si="11"/>
        <v>5.4066666666666663</v>
      </c>
      <c r="I42" s="142">
        <f t="shared" si="11"/>
        <v>47.96</v>
      </c>
      <c r="J42" s="142">
        <f t="shared" si="11"/>
        <v>10.148333333333333</v>
      </c>
      <c r="K42" s="142">
        <f t="shared" si="11"/>
        <v>56.116666666666667</v>
      </c>
      <c r="L42" s="142">
        <f t="shared" si="11"/>
        <v>6.29</v>
      </c>
      <c r="M42" s="142">
        <f t="shared" si="11"/>
        <v>381.125</v>
      </c>
      <c r="N42" s="142">
        <f t="shared" si="11"/>
        <v>59.664999999999999</v>
      </c>
      <c r="O42" s="142">
        <f t="shared" si="11"/>
        <v>87.834999999999994</v>
      </c>
      <c r="P42" s="142">
        <f t="shared" si="11"/>
        <v>22.25</v>
      </c>
      <c r="Q42" s="142">
        <f t="shared" si="11"/>
        <v>7.5083333333333329</v>
      </c>
      <c r="R42" s="142">
        <f t="shared" si="11"/>
        <v>0.61833333333333329</v>
      </c>
      <c r="S42" s="142">
        <f t="shared" si="10"/>
        <v>216.715</v>
      </c>
      <c r="T42" s="142">
        <f t="shared" si="10"/>
        <v>22.615000000000002</v>
      </c>
      <c r="U42" s="142">
        <f t="shared" si="10"/>
        <v>24.086666666666666</v>
      </c>
      <c r="V42" s="142">
        <f t="shared" si="10"/>
        <v>5.57</v>
      </c>
    </row>
    <row r="43" spans="1:22" x14ac:dyDescent="0.15">
      <c r="A43">
        <v>3</v>
      </c>
      <c r="B43" s="9" t="s">
        <v>406</v>
      </c>
      <c r="C43" s="142">
        <f t="shared" si="9"/>
        <v>168.22750000000002</v>
      </c>
      <c r="D43" s="142">
        <f t="shared" si="10"/>
        <v>59.152500000000003</v>
      </c>
      <c r="E43" s="142">
        <f t="shared" si="10"/>
        <v>37.067500000000003</v>
      </c>
      <c r="F43" s="142">
        <f t="shared" si="10"/>
        <v>6.5875000000000004</v>
      </c>
      <c r="G43" s="142">
        <f t="shared" si="10"/>
        <v>29.73</v>
      </c>
      <c r="H43" s="142">
        <f t="shared" si="10"/>
        <v>5.415</v>
      </c>
      <c r="I43" s="142">
        <f t="shared" si="10"/>
        <v>48.195</v>
      </c>
      <c r="J43" s="142">
        <f t="shared" si="10"/>
        <v>10.1525</v>
      </c>
      <c r="K43" s="142">
        <f t="shared" si="10"/>
        <v>56.28</v>
      </c>
      <c r="L43" s="142">
        <f t="shared" si="10"/>
        <v>6.2850000000000001</v>
      </c>
      <c r="M43" s="142">
        <f t="shared" si="10"/>
        <v>380.38750000000005</v>
      </c>
      <c r="N43" s="142">
        <f t="shared" si="10"/>
        <v>59.667499999999997</v>
      </c>
      <c r="O43" s="142">
        <f t="shared" si="10"/>
        <v>88.477499999999992</v>
      </c>
      <c r="P43" s="142">
        <f t="shared" si="10"/>
        <v>22.29</v>
      </c>
      <c r="Q43" s="142">
        <f t="shared" si="10"/>
        <v>7.4924999999999997</v>
      </c>
      <c r="R43" s="142">
        <f t="shared" si="10"/>
        <v>0.61749999999999994</v>
      </c>
      <c r="S43" s="142">
        <f t="shared" si="10"/>
        <v>217.36750000000001</v>
      </c>
      <c r="T43" s="142">
        <f t="shared" si="10"/>
        <v>22.577500000000001</v>
      </c>
      <c r="U43" s="142">
        <f t="shared" si="10"/>
        <v>24.240000000000002</v>
      </c>
      <c r="V43" s="142">
        <f t="shared" si="10"/>
        <v>5.6050000000000004</v>
      </c>
    </row>
    <row r="44" spans="1:22" x14ac:dyDescent="0.15">
      <c r="A44">
        <v>4</v>
      </c>
      <c r="B44" s="9" t="s">
        <v>407</v>
      </c>
      <c r="C44" s="142">
        <f t="shared" si="9"/>
        <v>168.35000000000002</v>
      </c>
      <c r="D44" s="142">
        <f t="shared" si="10"/>
        <v>59.31</v>
      </c>
      <c r="E44" s="142">
        <f t="shared" si="10"/>
        <v>37.296666666666667</v>
      </c>
      <c r="F44" s="142">
        <f t="shared" si="10"/>
        <v>6.6033333333333335</v>
      </c>
      <c r="G44" s="142">
        <f t="shared" si="10"/>
        <v>29.936666666666667</v>
      </c>
      <c r="H44" s="142">
        <f t="shared" si="10"/>
        <v>5.4233333333333329</v>
      </c>
      <c r="I44" s="142">
        <f t="shared" si="10"/>
        <v>48.43</v>
      </c>
      <c r="J44" s="142">
        <f t="shared" si="10"/>
        <v>10.156666666666666</v>
      </c>
      <c r="K44" s="142">
        <f t="shared" si="10"/>
        <v>56.443333333333335</v>
      </c>
      <c r="L44" s="142">
        <f t="shared" si="10"/>
        <v>6.28</v>
      </c>
      <c r="M44" s="142">
        <f t="shared" si="10"/>
        <v>379.65000000000003</v>
      </c>
      <c r="N44" s="142">
        <f t="shared" si="10"/>
        <v>59.669999999999995</v>
      </c>
      <c r="O44" s="142">
        <f t="shared" si="10"/>
        <v>89.12</v>
      </c>
      <c r="P44" s="142">
        <f t="shared" si="10"/>
        <v>22.330000000000002</v>
      </c>
      <c r="Q44" s="142">
        <f t="shared" si="10"/>
        <v>7.4766666666666666</v>
      </c>
      <c r="R44" s="142">
        <f t="shared" si="10"/>
        <v>0.6166666666666667</v>
      </c>
      <c r="S44" s="142">
        <f t="shared" si="10"/>
        <v>218.02</v>
      </c>
      <c r="T44" s="142">
        <f t="shared" si="10"/>
        <v>22.54</v>
      </c>
      <c r="U44" s="142">
        <f t="shared" si="10"/>
        <v>24.393333333333334</v>
      </c>
      <c r="V44" s="142">
        <f t="shared" si="10"/>
        <v>5.64</v>
      </c>
    </row>
    <row r="45" spans="1:22" x14ac:dyDescent="0.15">
      <c r="A45">
        <v>5</v>
      </c>
      <c r="B45" s="9" t="s">
        <v>408</v>
      </c>
      <c r="C45" s="142">
        <f t="shared" si="9"/>
        <v>168.47250000000003</v>
      </c>
      <c r="D45" s="142">
        <f t="shared" si="10"/>
        <v>59.467500000000001</v>
      </c>
      <c r="E45" s="142">
        <f t="shared" si="10"/>
        <v>37.525833333333338</v>
      </c>
      <c r="F45" s="142">
        <f t="shared" si="10"/>
        <v>6.6191666666666666</v>
      </c>
      <c r="G45" s="142">
        <f t="shared" si="10"/>
        <v>30.143333333333334</v>
      </c>
      <c r="H45" s="142">
        <f t="shared" si="10"/>
        <v>5.4316666666666666</v>
      </c>
      <c r="I45" s="142">
        <f t="shared" si="10"/>
        <v>48.664999999999999</v>
      </c>
      <c r="J45" s="142">
        <f t="shared" si="10"/>
        <v>10.160833333333333</v>
      </c>
      <c r="K45" s="142">
        <f t="shared" si="10"/>
        <v>56.606666666666669</v>
      </c>
      <c r="L45" s="142">
        <f t="shared" si="10"/>
        <v>6.2750000000000004</v>
      </c>
      <c r="M45" s="142">
        <f t="shared" si="10"/>
        <v>378.91250000000002</v>
      </c>
      <c r="N45" s="142">
        <f t="shared" si="10"/>
        <v>59.672499999999999</v>
      </c>
      <c r="O45" s="142">
        <f t="shared" si="10"/>
        <v>89.762500000000003</v>
      </c>
      <c r="P45" s="142">
        <f t="shared" si="10"/>
        <v>22.37</v>
      </c>
      <c r="Q45" s="142">
        <f t="shared" si="10"/>
        <v>7.4608333333333334</v>
      </c>
      <c r="R45" s="142">
        <f t="shared" si="10"/>
        <v>0.61583333333333334</v>
      </c>
      <c r="S45" s="142">
        <f t="shared" si="10"/>
        <v>218.67250000000001</v>
      </c>
      <c r="T45" s="142">
        <f t="shared" si="10"/>
        <v>22.502500000000001</v>
      </c>
      <c r="U45" s="142">
        <f t="shared" si="10"/>
        <v>24.546666666666667</v>
      </c>
      <c r="V45" s="142">
        <f t="shared" si="10"/>
        <v>5.6749999999999998</v>
      </c>
    </row>
    <row r="46" spans="1:22" x14ac:dyDescent="0.15">
      <c r="A46">
        <v>6</v>
      </c>
      <c r="B46" s="9" t="s">
        <v>409</v>
      </c>
      <c r="C46" s="142">
        <f t="shared" si="9"/>
        <v>168.59500000000003</v>
      </c>
      <c r="D46" s="142">
        <f>(D$52-D$40)/12*$A46+D$40</f>
        <v>59.625</v>
      </c>
      <c r="E46" s="142">
        <f t="shared" si="10"/>
        <v>37.755000000000003</v>
      </c>
      <c r="F46" s="142">
        <f t="shared" si="10"/>
        <v>6.6349999999999998</v>
      </c>
      <c r="G46" s="142">
        <f t="shared" si="10"/>
        <v>30.35</v>
      </c>
      <c r="H46" s="142">
        <f t="shared" si="10"/>
        <v>5.4399999999999995</v>
      </c>
      <c r="I46" s="142">
        <f t="shared" si="10"/>
        <v>48.900000000000006</v>
      </c>
      <c r="J46" s="142">
        <f t="shared" si="10"/>
        <v>10.164999999999999</v>
      </c>
      <c r="K46" s="142">
        <f t="shared" si="10"/>
        <v>56.769999999999996</v>
      </c>
      <c r="L46" s="142">
        <f t="shared" si="10"/>
        <v>6.27</v>
      </c>
      <c r="M46" s="142">
        <f t="shared" si="10"/>
        <v>378.17500000000001</v>
      </c>
      <c r="N46" s="142">
        <f t="shared" si="10"/>
        <v>59.674999999999997</v>
      </c>
      <c r="O46" s="142">
        <f t="shared" si="10"/>
        <v>90.405000000000001</v>
      </c>
      <c r="P46" s="142">
        <f t="shared" si="10"/>
        <v>22.41</v>
      </c>
      <c r="Q46" s="142">
        <f t="shared" si="10"/>
        <v>7.4450000000000003</v>
      </c>
      <c r="R46" s="142">
        <f t="shared" si="10"/>
        <v>0.61499999999999999</v>
      </c>
      <c r="S46" s="142">
        <f t="shared" si="10"/>
        <v>219.32499999999999</v>
      </c>
      <c r="T46" s="142">
        <f t="shared" si="10"/>
        <v>22.465</v>
      </c>
      <c r="U46" s="142">
        <f t="shared" si="10"/>
        <v>24.700000000000003</v>
      </c>
      <c r="V46" s="142">
        <f t="shared" si="10"/>
        <v>5.71</v>
      </c>
    </row>
    <row r="47" spans="1:22" x14ac:dyDescent="0.15">
      <c r="A47">
        <v>7</v>
      </c>
      <c r="B47" s="9" t="s">
        <v>410</v>
      </c>
      <c r="C47" s="142">
        <f t="shared" si="9"/>
        <v>168.7175</v>
      </c>
      <c r="D47" s="142">
        <f t="shared" si="10"/>
        <v>59.782499999999999</v>
      </c>
      <c r="E47" s="142">
        <f t="shared" si="10"/>
        <v>37.984166666666667</v>
      </c>
      <c r="F47" s="142">
        <f t="shared" si="10"/>
        <v>6.6508333333333338</v>
      </c>
      <c r="G47" s="142">
        <f t="shared" si="10"/>
        <v>30.556666666666665</v>
      </c>
      <c r="H47" s="142">
        <f t="shared" si="10"/>
        <v>5.4483333333333333</v>
      </c>
      <c r="I47" s="142">
        <f t="shared" si="10"/>
        <v>49.135000000000005</v>
      </c>
      <c r="J47" s="142">
        <f t="shared" si="10"/>
        <v>10.169166666666667</v>
      </c>
      <c r="K47" s="142">
        <f t="shared" si="10"/>
        <v>56.93333333333333</v>
      </c>
      <c r="L47" s="142">
        <f t="shared" si="10"/>
        <v>6.2649999999999997</v>
      </c>
      <c r="M47" s="142">
        <f t="shared" si="10"/>
        <v>377.4375</v>
      </c>
      <c r="N47" s="142">
        <f t="shared" si="10"/>
        <v>59.677499999999995</v>
      </c>
      <c r="O47" s="142">
        <f t="shared" si="10"/>
        <v>91.047499999999999</v>
      </c>
      <c r="P47" s="142">
        <f t="shared" si="10"/>
        <v>22.45</v>
      </c>
      <c r="Q47" s="142">
        <f t="shared" si="10"/>
        <v>7.4291666666666663</v>
      </c>
      <c r="R47" s="142">
        <f t="shared" si="10"/>
        <v>0.61416666666666664</v>
      </c>
      <c r="S47" s="142">
        <f t="shared" si="10"/>
        <v>219.97749999999999</v>
      </c>
      <c r="T47" s="142">
        <f t="shared" si="10"/>
        <v>22.427499999999998</v>
      </c>
      <c r="U47" s="142">
        <f t="shared" si="10"/>
        <v>24.853333333333335</v>
      </c>
      <c r="V47" s="142">
        <f t="shared" si="10"/>
        <v>5.7450000000000001</v>
      </c>
    </row>
    <row r="48" spans="1:22" x14ac:dyDescent="0.15">
      <c r="A48">
        <v>8</v>
      </c>
      <c r="B48" s="9" t="s">
        <v>411</v>
      </c>
      <c r="C48" s="142">
        <f t="shared" si="9"/>
        <v>168.84</v>
      </c>
      <c r="D48" s="142">
        <f t="shared" si="10"/>
        <v>59.94</v>
      </c>
      <c r="E48" s="142">
        <f t="shared" si="10"/>
        <v>38.213333333333338</v>
      </c>
      <c r="F48" s="142">
        <f t="shared" si="10"/>
        <v>6.666666666666667</v>
      </c>
      <c r="G48" s="142">
        <f t="shared" si="10"/>
        <v>30.763333333333332</v>
      </c>
      <c r="H48" s="142">
        <f t="shared" si="10"/>
        <v>5.456666666666667</v>
      </c>
      <c r="I48" s="142">
        <f t="shared" si="10"/>
        <v>49.370000000000005</v>
      </c>
      <c r="J48" s="142">
        <f t="shared" si="10"/>
        <v>10.173333333333334</v>
      </c>
      <c r="K48" s="142">
        <f t="shared" si="10"/>
        <v>57.096666666666664</v>
      </c>
      <c r="L48" s="142">
        <f t="shared" si="10"/>
        <v>6.26</v>
      </c>
      <c r="M48" s="142">
        <f t="shared" si="10"/>
        <v>376.7</v>
      </c>
      <c r="N48" s="142">
        <f t="shared" si="10"/>
        <v>59.68</v>
      </c>
      <c r="O48" s="142">
        <f t="shared" si="10"/>
        <v>91.69</v>
      </c>
      <c r="P48" s="142">
        <f t="shared" si="10"/>
        <v>22.49</v>
      </c>
      <c r="Q48" s="142">
        <f t="shared" si="10"/>
        <v>7.4133333333333331</v>
      </c>
      <c r="R48" s="142">
        <f t="shared" si="10"/>
        <v>0.61333333333333329</v>
      </c>
      <c r="S48" s="142">
        <f t="shared" si="10"/>
        <v>220.63</v>
      </c>
      <c r="T48" s="142">
        <f t="shared" si="10"/>
        <v>22.39</v>
      </c>
      <c r="U48" s="142">
        <f t="shared" si="10"/>
        <v>25.006666666666668</v>
      </c>
      <c r="V48" s="142">
        <f t="shared" si="10"/>
        <v>5.78</v>
      </c>
    </row>
    <row r="49" spans="1:22" x14ac:dyDescent="0.15">
      <c r="A49">
        <v>9</v>
      </c>
      <c r="B49" s="9" t="s">
        <v>412</v>
      </c>
      <c r="C49" s="142">
        <f t="shared" si="9"/>
        <v>168.96250000000001</v>
      </c>
      <c r="D49" s="142">
        <f t="shared" si="10"/>
        <v>60.097499999999997</v>
      </c>
      <c r="E49" s="142">
        <f t="shared" si="10"/>
        <v>38.442500000000003</v>
      </c>
      <c r="F49" s="142">
        <f t="shared" si="10"/>
        <v>6.6825000000000001</v>
      </c>
      <c r="G49" s="142">
        <f t="shared" si="10"/>
        <v>30.97</v>
      </c>
      <c r="H49" s="142">
        <f t="shared" si="10"/>
        <v>5.4649999999999999</v>
      </c>
      <c r="I49" s="142">
        <f t="shared" si="10"/>
        <v>49.605000000000004</v>
      </c>
      <c r="J49" s="142">
        <f t="shared" si="10"/>
        <v>10.1775</v>
      </c>
      <c r="K49" s="142">
        <f t="shared" si="10"/>
        <v>57.26</v>
      </c>
      <c r="L49" s="142">
        <f t="shared" si="10"/>
        <v>6.2549999999999999</v>
      </c>
      <c r="M49" s="142">
        <f t="shared" si="10"/>
        <v>375.96249999999998</v>
      </c>
      <c r="N49" s="142">
        <f t="shared" si="10"/>
        <v>59.682499999999997</v>
      </c>
      <c r="O49" s="142">
        <f t="shared" si="10"/>
        <v>92.33250000000001</v>
      </c>
      <c r="P49" s="142">
        <f t="shared" si="10"/>
        <v>22.53</v>
      </c>
      <c r="Q49" s="142">
        <f t="shared" si="10"/>
        <v>7.3975</v>
      </c>
      <c r="R49" s="142">
        <f t="shared" si="10"/>
        <v>0.61250000000000004</v>
      </c>
      <c r="S49" s="142">
        <f t="shared" si="10"/>
        <v>221.2825</v>
      </c>
      <c r="T49" s="142">
        <f t="shared" si="10"/>
        <v>22.352499999999999</v>
      </c>
      <c r="U49" s="142">
        <f t="shared" si="10"/>
        <v>25.16</v>
      </c>
      <c r="V49" s="142">
        <f t="shared" si="10"/>
        <v>5.8149999999999995</v>
      </c>
    </row>
    <row r="50" spans="1:22" x14ac:dyDescent="0.15">
      <c r="A50">
        <v>10</v>
      </c>
      <c r="B50" s="9" t="s">
        <v>413</v>
      </c>
      <c r="C50" s="142">
        <f t="shared" si="9"/>
        <v>169.08500000000001</v>
      </c>
      <c r="D50" s="142">
        <f t="shared" si="10"/>
        <v>60.255000000000003</v>
      </c>
      <c r="E50" s="142">
        <f t="shared" si="10"/>
        <v>38.671666666666667</v>
      </c>
      <c r="F50" s="142">
        <f t="shared" si="10"/>
        <v>6.6983333333333341</v>
      </c>
      <c r="G50" s="142">
        <f t="shared" si="10"/>
        <v>31.176666666666666</v>
      </c>
      <c r="H50" s="142">
        <f t="shared" si="10"/>
        <v>5.4733333333333336</v>
      </c>
      <c r="I50" s="142">
        <f t="shared" si="10"/>
        <v>49.84</v>
      </c>
      <c r="J50" s="142">
        <f t="shared" si="10"/>
        <v>10.181666666666667</v>
      </c>
      <c r="K50" s="142">
        <f t="shared" si="10"/>
        <v>57.423333333333332</v>
      </c>
      <c r="L50" s="142">
        <f t="shared" si="10"/>
        <v>6.25</v>
      </c>
      <c r="M50" s="142">
        <f t="shared" si="10"/>
        <v>375.22500000000002</v>
      </c>
      <c r="N50" s="142">
        <f t="shared" si="10"/>
        <v>59.684999999999995</v>
      </c>
      <c r="O50" s="142">
        <f t="shared" si="10"/>
        <v>92.975000000000009</v>
      </c>
      <c r="P50" s="142">
        <f t="shared" si="10"/>
        <v>22.57</v>
      </c>
      <c r="Q50" s="142">
        <f t="shared" si="10"/>
        <v>7.3816666666666659</v>
      </c>
      <c r="R50" s="142">
        <f t="shared" si="10"/>
        <v>0.61166666666666669</v>
      </c>
      <c r="S50" s="142">
        <f t="shared" si="10"/>
        <v>221.935</v>
      </c>
      <c r="T50" s="142">
        <f t="shared" si="10"/>
        <v>22.314999999999998</v>
      </c>
      <c r="U50" s="142">
        <f t="shared" si="10"/>
        <v>25.313333333333333</v>
      </c>
      <c r="V50" s="142">
        <f t="shared" si="10"/>
        <v>5.85</v>
      </c>
    </row>
    <row r="51" spans="1:22" x14ac:dyDescent="0.15">
      <c r="A51">
        <v>11</v>
      </c>
      <c r="B51" s="9" t="s">
        <v>414</v>
      </c>
      <c r="C51" s="142">
        <f t="shared" si="9"/>
        <v>169.20750000000001</v>
      </c>
      <c r="D51" s="142">
        <f t="shared" si="10"/>
        <v>60.412500000000001</v>
      </c>
      <c r="E51" s="142">
        <f t="shared" si="10"/>
        <v>38.900833333333338</v>
      </c>
      <c r="F51" s="142">
        <f t="shared" si="10"/>
        <v>6.7141666666666673</v>
      </c>
      <c r="G51" s="142">
        <f t="shared" si="10"/>
        <v>31.383333333333333</v>
      </c>
      <c r="H51" s="142">
        <f t="shared" si="10"/>
        <v>5.4816666666666665</v>
      </c>
      <c r="I51" s="142">
        <f t="shared" si="10"/>
        <v>50.075000000000003</v>
      </c>
      <c r="J51" s="142">
        <f t="shared" si="10"/>
        <v>10.185833333333333</v>
      </c>
      <c r="K51" s="142">
        <f t="shared" si="10"/>
        <v>57.586666666666666</v>
      </c>
      <c r="L51" s="142">
        <f t="shared" si="10"/>
        <v>6.2450000000000001</v>
      </c>
      <c r="M51" s="142">
        <f t="shared" si="10"/>
        <v>374.48750000000001</v>
      </c>
      <c r="N51" s="142">
        <f t="shared" si="10"/>
        <v>59.6875</v>
      </c>
      <c r="O51" s="142">
        <f t="shared" si="10"/>
        <v>93.617500000000007</v>
      </c>
      <c r="P51" s="142">
        <f t="shared" si="10"/>
        <v>22.61</v>
      </c>
      <c r="Q51" s="142">
        <f t="shared" si="10"/>
        <v>7.3658333333333328</v>
      </c>
      <c r="R51" s="142">
        <f t="shared" si="10"/>
        <v>0.61083333333333334</v>
      </c>
      <c r="S51" s="142">
        <f t="shared" si="10"/>
        <v>222.58750000000001</v>
      </c>
      <c r="T51" s="142">
        <f t="shared" si="10"/>
        <v>22.2775</v>
      </c>
      <c r="U51" s="142">
        <f t="shared" si="10"/>
        <v>25.466666666666669</v>
      </c>
      <c r="V51" s="142">
        <f t="shared" si="10"/>
        <v>5.8849999999999998</v>
      </c>
    </row>
    <row r="52" spans="1:22" x14ac:dyDescent="0.15">
      <c r="B52" s="9" t="s">
        <v>415</v>
      </c>
      <c r="C52" s="142">
        <f>熊本県基準値!B10</f>
        <v>169.33</v>
      </c>
      <c r="D52" s="142">
        <f>熊本県基準値!C10</f>
        <v>60.57</v>
      </c>
      <c r="E52" s="143">
        <f>熊本県基準値!D10</f>
        <v>39.130000000000003</v>
      </c>
      <c r="F52" s="143">
        <f>熊本県基準値!E10</f>
        <v>6.73</v>
      </c>
      <c r="G52" s="143">
        <f>熊本県基準値!F10</f>
        <v>31.59</v>
      </c>
      <c r="H52" s="143">
        <f>熊本県基準値!G10</f>
        <v>5.49</v>
      </c>
      <c r="I52" s="143">
        <f>熊本県基準値!H10</f>
        <v>50.31</v>
      </c>
      <c r="J52" s="143">
        <f>熊本県基準値!I10</f>
        <v>10.19</v>
      </c>
      <c r="K52" s="144">
        <f>熊本県基準値!J10</f>
        <v>57.75</v>
      </c>
      <c r="L52" s="144">
        <f>熊本県基準値!K10</f>
        <v>6.24</v>
      </c>
      <c r="M52" s="142">
        <f>熊本県基準値!L10</f>
        <v>373.75</v>
      </c>
      <c r="N52" s="142">
        <f>熊本県基準値!M10</f>
        <v>59.69</v>
      </c>
      <c r="O52" s="144">
        <f>熊本県基準値!N10</f>
        <v>94.26</v>
      </c>
      <c r="P52" s="144">
        <f>熊本県基準値!O10</f>
        <v>22.65</v>
      </c>
      <c r="Q52" s="143">
        <f>熊本県基準値!P10</f>
        <v>7.35</v>
      </c>
      <c r="R52" s="143">
        <f>熊本県基準値!Q10</f>
        <v>0.61</v>
      </c>
      <c r="S52" s="142">
        <f>熊本県基準値!R10</f>
        <v>223.24</v>
      </c>
      <c r="T52" s="142">
        <f>熊本県基準値!S10</f>
        <v>22.24</v>
      </c>
      <c r="U52" s="142">
        <f>熊本県基準値!T10</f>
        <v>25.62</v>
      </c>
      <c r="V52" s="142">
        <f>熊本県基準値!U10</f>
        <v>5.92</v>
      </c>
    </row>
    <row r="53" spans="1:22" x14ac:dyDescent="0.15">
      <c r="A53">
        <v>1</v>
      </c>
      <c r="B53" s="9" t="s">
        <v>416</v>
      </c>
      <c r="C53" s="142">
        <f t="shared" ref="C53:C63" si="12">(C$64-C$52)/12*$A53+C$52</f>
        <v>169.39250000000001</v>
      </c>
      <c r="D53" s="142">
        <f t="shared" ref="D53:V63" si="13">(D$64-D$52)/12*$A53+D$52</f>
        <v>60.727499999999999</v>
      </c>
      <c r="E53" s="142">
        <f t="shared" si="13"/>
        <v>39.285833333333336</v>
      </c>
      <c r="F53" s="142">
        <f t="shared" si="13"/>
        <v>6.74</v>
      </c>
      <c r="G53" s="142">
        <f t="shared" si="13"/>
        <v>31.695833333333333</v>
      </c>
      <c r="H53" s="142">
        <f t="shared" si="13"/>
        <v>5.5025000000000004</v>
      </c>
      <c r="I53" s="142">
        <f t="shared" si="13"/>
        <v>50.483333333333334</v>
      </c>
      <c r="J53" s="142">
        <f t="shared" si="13"/>
        <v>10.204166666666666</v>
      </c>
      <c r="K53" s="142">
        <f t="shared" si="13"/>
        <v>57.855833333333337</v>
      </c>
      <c r="L53" s="142">
        <f t="shared" si="13"/>
        <v>6.246666666666667</v>
      </c>
      <c r="M53" s="142">
        <f t="shared" si="13"/>
        <v>373.39166666666665</v>
      </c>
      <c r="N53" s="142">
        <f t="shared" si="13"/>
        <v>59.580833333333331</v>
      </c>
      <c r="O53" s="142">
        <f t="shared" si="13"/>
        <v>94.190833333333345</v>
      </c>
      <c r="P53" s="142">
        <f t="shared" si="13"/>
        <v>22.673333333333332</v>
      </c>
      <c r="Q53" s="142">
        <f t="shared" si="13"/>
        <v>7.3408333333333333</v>
      </c>
      <c r="R53" s="142">
        <f t="shared" si="13"/>
        <v>0.60666666666666669</v>
      </c>
      <c r="S53" s="142">
        <f t="shared" si="13"/>
        <v>223.68916666666667</v>
      </c>
      <c r="T53" s="142">
        <f t="shared" si="13"/>
        <v>22.223333333333333</v>
      </c>
      <c r="U53" s="142">
        <f t="shared" si="13"/>
        <v>25.724166666666669</v>
      </c>
      <c r="V53" s="142">
        <f t="shared" si="13"/>
        <v>5.9341666666666661</v>
      </c>
    </row>
    <row r="54" spans="1:22" x14ac:dyDescent="0.15">
      <c r="A54">
        <v>2</v>
      </c>
      <c r="B54" s="9" t="s">
        <v>417</v>
      </c>
      <c r="C54" s="142">
        <f t="shared" si="12"/>
        <v>169.45500000000001</v>
      </c>
      <c r="D54" s="142">
        <f t="shared" ref="D54:R54" si="14">(D$64-D$52)/12*$A54+D$52</f>
        <v>60.884999999999998</v>
      </c>
      <c r="E54" s="142">
        <f t="shared" si="14"/>
        <v>39.44166666666667</v>
      </c>
      <c r="F54" s="142">
        <f t="shared" si="14"/>
        <v>6.75</v>
      </c>
      <c r="G54" s="142">
        <f t="shared" si="14"/>
        <v>31.801666666666666</v>
      </c>
      <c r="H54" s="142">
        <f t="shared" si="14"/>
        <v>5.5150000000000006</v>
      </c>
      <c r="I54" s="142">
        <f t="shared" si="14"/>
        <v>50.656666666666666</v>
      </c>
      <c r="J54" s="142">
        <f t="shared" si="14"/>
        <v>10.218333333333334</v>
      </c>
      <c r="K54" s="142">
        <f t="shared" si="14"/>
        <v>57.961666666666666</v>
      </c>
      <c r="L54" s="142">
        <f t="shared" si="14"/>
        <v>6.2533333333333339</v>
      </c>
      <c r="M54" s="142">
        <f t="shared" si="14"/>
        <v>373.0333333333333</v>
      </c>
      <c r="N54" s="142">
        <f t="shared" si="14"/>
        <v>59.471666666666664</v>
      </c>
      <c r="O54" s="142">
        <f t="shared" si="14"/>
        <v>94.12166666666667</v>
      </c>
      <c r="P54" s="142">
        <f t="shared" si="14"/>
        <v>22.696666666666665</v>
      </c>
      <c r="Q54" s="142">
        <f t="shared" si="14"/>
        <v>7.3316666666666661</v>
      </c>
      <c r="R54" s="142">
        <f t="shared" si="14"/>
        <v>0.60333333333333328</v>
      </c>
      <c r="S54" s="142">
        <f t="shared" si="13"/>
        <v>224.13833333333335</v>
      </c>
      <c r="T54" s="142">
        <f t="shared" si="13"/>
        <v>22.206666666666663</v>
      </c>
      <c r="U54" s="142">
        <f t="shared" si="13"/>
        <v>25.828333333333333</v>
      </c>
      <c r="V54" s="142">
        <f t="shared" si="13"/>
        <v>5.9483333333333333</v>
      </c>
    </row>
    <row r="55" spans="1:22" x14ac:dyDescent="0.15">
      <c r="A55">
        <v>3</v>
      </c>
      <c r="B55" s="9" t="s">
        <v>418</v>
      </c>
      <c r="C55" s="142">
        <f t="shared" si="12"/>
        <v>169.51750000000001</v>
      </c>
      <c r="D55" s="142">
        <f t="shared" si="13"/>
        <v>61.042500000000004</v>
      </c>
      <c r="E55" s="142">
        <f t="shared" si="13"/>
        <v>39.597500000000004</v>
      </c>
      <c r="F55" s="142">
        <f t="shared" si="13"/>
        <v>6.76</v>
      </c>
      <c r="G55" s="142">
        <f t="shared" si="13"/>
        <v>31.907499999999999</v>
      </c>
      <c r="H55" s="142">
        <f t="shared" si="13"/>
        <v>5.5274999999999999</v>
      </c>
      <c r="I55" s="142">
        <f t="shared" si="13"/>
        <v>50.83</v>
      </c>
      <c r="J55" s="142">
        <f t="shared" si="13"/>
        <v>10.2325</v>
      </c>
      <c r="K55" s="142">
        <f t="shared" si="13"/>
        <v>58.067500000000003</v>
      </c>
      <c r="L55" s="142">
        <f t="shared" si="13"/>
        <v>6.26</v>
      </c>
      <c r="M55" s="142">
        <f t="shared" si="13"/>
        <v>372.67500000000001</v>
      </c>
      <c r="N55" s="142">
        <f t="shared" si="13"/>
        <v>59.362499999999997</v>
      </c>
      <c r="O55" s="142">
        <f t="shared" si="13"/>
        <v>94.052500000000009</v>
      </c>
      <c r="P55" s="142">
        <f t="shared" si="13"/>
        <v>22.72</v>
      </c>
      <c r="Q55" s="142">
        <f t="shared" si="13"/>
        <v>7.3224999999999998</v>
      </c>
      <c r="R55" s="142">
        <f t="shared" si="13"/>
        <v>0.6</v>
      </c>
      <c r="S55" s="142">
        <f t="shared" si="13"/>
        <v>224.58750000000001</v>
      </c>
      <c r="T55" s="142">
        <f t="shared" si="13"/>
        <v>22.189999999999998</v>
      </c>
      <c r="U55" s="142">
        <f t="shared" si="13"/>
        <v>25.932500000000001</v>
      </c>
      <c r="V55" s="142">
        <f t="shared" si="13"/>
        <v>5.9625000000000004</v>
      </c>
    </row>
    <row r="56" spans="1:22" x14ac:dyDescent="0.15">
      <c r="A56">
        <v>4</v>
      </c>
      <c r="B56" s="9" t="s">
        <v>419</v>
      </c>
      <c r="C56" s="142">
        <f t="shared" si="12"/>
        <v>169.58</v>
      </c>
      <c r="D56" s="142">
        <f t="shared" si="13"/>
        <v>61.2</v>
      </c>
      <c r="E56" s="142">
        <f t="shared" si="13"/>
        <v>39.753333333333337</v>
      </c>
      <c r="F56" s="142">
        <f t="shared" si="13"/>
        <v>6.7700000000000005</v>
      </c>
      <c r="G56" s="142">
        <f t="shared" si="13"/>
        <v>32.013333333333335</v>
      </c>
      <c r="H56" s="142">
        <f t="shared" si="13"/>
        <v>5.54</v>
      </c>
      <c r="I56" s="142">
        <f t="shared" si="13"/>
        <v>51.003333333333337</v>
      </c>
      <c r="J56" s="142">
        <f t="shared" si="13"/>
        <v>10.246666666666666</v>
      </c>
      <c r="K56" s="142">
        <f t="shared" si="13"/>
        <v>58.173333333333332</v>
      </c>
      <c r="L56" s="142">
        <f t="shared" si="13"/>
        <v>6.2666666666666666</v>
      </c>
      <c r="M56" s="142">
        <f t="shared" si="13"/>
        <v>372.31666666666666</v>
      </c>
      <c r="N56" s="142">
        <f t="shared" si="13"/>
        <v>59.25333333333333</v>
      </c>
      <c r="O56" s="142">
        <f t="shared" si="13"/>
        <v>93.983333333333334</v>
      </c>
      <c r="P56" s="142">
        <f t="shared" si="13"/>
        <v>22.743333333333332</v>
      </c>
      <c r="Q56" s="142">
        <f t="shared" si="13"/>
        <v>7.3133333333333335</v>
      </c>
      <c r="R56" s="142">
        <f t="shared" si="13"/>
        <v>0.59666666666666668</v>
      </c>
      <c r="S56" s="142">
        <f t="shared" si="13"/>
        <v>225.03666666666666</v>
      </c>
      <c r="T56" s="142">
        <f t="shared" si="13"/>
        <v>22.173333333333332</v>
      </c>
      <c r="U56" s="142">
        <f t="shared" si="13"/>
        <v>26.036666666666669</v>
      </c>
      <c r="V56" s="142">
        <f t="shared" si="13"/>
        <v>5.9766666666666666</v>
      </c>
    </row>
    <row r="57" spans="1:22" x14ac:dyDescent="0.15">
      <c r="A57">
        <v>5</v>
      </c>
      <c r="B57" s="9" t="s">
        <v>420</v>
      </c>
      <c r="C57" s="142">
        <f t="shared" si="12"/>
        <v>169.64250000000001</v>
      </c>
      <c r="D57" s="142">
        <f t="shared" si="13"/>
        <v>61.357500000000002</v>
      </c>
      <c r="E57" s="142">
        <f t="shared" si="13"/>
        <v>39.909166666666671</v>
      </c>
      <c r="F57" s="142">
        <f t="shared" si="13"/>
        <v>6.78</v>
      </c>
      <c r="G57" s="142">
        <f t="shared" si="13"/>
        <v>32.119166666666665</v>
      </c>
      <c r="H57" s="142">
        <f t="shared" si="13"/>
        <v>5.5525000000000002</v>
      </c>
      <c r="I57" s="142">
        <f t="shared" si="13"/>
        <v>51.176666666666669</v>
      </c>
      <c r="J57" s="142">
        <f t="shared" si="13"/>
        <v>10.260833333333332</v>
      </c>
      <c r="K57" s="142">
        <f t="shared" si="13"/>
        <v>58.279166666666669</v>
      </c>
      <c r="L57" s="142">
        <f t="shared" si="13"/>
        <v>6.2733333333333334</v>
      </c>
      <c r="M57" s="142">
        <f t="shared" si="13"/>
        <v>371.95833333333331</v>
      </c>
      <c r="N57" s="142">
        <f t="shared" si="13"/>
        <v>59.144166666666663</v>
      </c>
      <c r="O57" s="142">
        <f t="shared" si="13"/>
        <v>93.914166666666674</v>
      </c>
      <c r="P57" s="142">
        <f t="shared" si="13"/>
        <v>22.766666666666666</v>
      </c>
      <c r="Q57" s="142">
        <f t="shared" si="13"/>
        <v>7.3041666666666663</v>
      </c>
      <c r="R57" s="142">
        <f t="shared" si="13"/>
        <v>0.59333333333333327</v>
      </c>
      <c r="S57" s="142">
        <f t="shared" si="13"/>
        <v>225.48583333333335</v>
      </c>
      <c r="T57" s="142">
        <f t="shared" si="13"/>
        <v>22.156666666666666</v>
      </c>
      <c r="U57" s="142">
        <f t="shared" si="13"/>
        <v>26.140833333333333</v>
      </c>
      <c r="V57" s="142">
        <f t="shared" si="13"/>
        <v>5.9908333333333328</v>
      </c>
    </row>
    <row r="58" spans="1:22" x14ac:dyDescent="0.15">
      <c r="A58">
        <v>6</v>
      </c>
      <c r="B58" s="9" t="s">
        <v>421</v>
      </c>
      <c r="C58" s="142">
        <f t="shared" si="12"/>
        <v>169.70500000000001</v>
      </c>
      <c r="D58" s="142">
        <f t="shared" si="13"/>
        <v>61.515000000000001</v>
      </c>
      <c r="E58" s="142">
        <f t="shared" si="13"/>
        <v>40.064999999999998</v>
      </c>
      <c r="F58" s="142">
        <f t="shared" si="13"/>
        <v>6.79</v>
      </c>
      <c r="G58" s="142">
        <f t="shared" si="13"/>
        <v>32.225000000000001</v>
      </c>
      <c r="H58" s="142">
        <f t="shared" si="13"/>
        <v>5.5649999999999995</v>
      </c>
      <c r="I58" s="142">
        <f t="shared" si="13"/>
        <v>51.35</v>
      </c>
      <c r="J58" s="142">
        <f t="shared" si="13"/>
        <v>10.274999999999999</v>
      </c>
      <c r="K58" s="142">
        <f t="shared" si="13"/>
        <v>58.385000000000005</v>
      </c>
      <c r="L58" s="142">
        <f t="shared" si="13"/>
        <v>6.28</v>
      </c>
      <c r="M58" s="142">
        <f t="shared" si="13"/>
        <v>371.6</v>
      </c>
      <c r="N58" s="142">
        <f t="shared" si="13"/>
        <v>59.034999999999997</v>
      </c>
      <c r="O58" s="142">
        <f t="shared" si="13"/>
        <v>93.844999999999999</v>
      </c>
      <c r="P58" s="142">
        <f t="shared" si="13"/>
        <v>22.79</v>
      </c>
      <c r="Q58" s="142">
        <f t="shared" si="13"/>
        <v>7.2949999999999999</v>
      </c>
      <c r="R58" s="142">
        <f t="shared" si="13"/>
        <v>0.59</v>
      </c>
      <c r="S58" s="142">
        <f t="shared" si="13"/>
        <v>225.935</v>
      </c>
      <c r="T58" s="142">
        <f t="shared" si="13"/>
        <v>22.14</v>
      </c>
      <c r="U58" s="142">
        <f t="shared" si="13"/>
        <v>26.245000000000001</v>
      </c>
      <c r="V58" s="142">
        <f t="shared" si="13"/>
        <v>6.0049999999999999</v>
      </c>
    </row>
    <row r="59" spans="1:22" x14ac:dyDescent="0.15">
      <c r="A59">
        <v>7</v>
      </c>
      <c r="B59" s="9" t="s">
        <v>422</v>
      </c>
      <c r="C59" s="142">
        <f t="shared" si="12"/>
        <v>169.76750000000001</v>
      </c>
      <c r="D59" s="142">
        <f t="shared" si="13"/>
        <v>61.672499999999999</v>
      </c>
      <c r="E59" s="142">
        <f t="shared" si="13"/>
        <v>40.220833333333331</v>
      </c>
      <c r="F59" s="142">
        <f t="shared" si="13"/>
        <v>6.8</v>
      </c>
      <c r="G59" s="142">
        <f t="shared" si="13"/>
        <v>32.330833333333331</v>
      </c>
      <c r="H59" s="142">
        <f t="shared" si="13"/>
        <v>5.5774999999999997</v>
      </c>
      <c r="I59" s="142">
        <f t="shared" si="13"/>
        <v>51.523333333333333</v>
      </c>
      <c r="J59" s="142">
        <f t="shared" si="13"/>
        <v>10.289166666666667</v>
      </c>
      <c r="K59" s="142">
        <f t="shared" si="13"/>
        <v>58.490833333333335</v>
      </c>
      <c r="L59" s="142">
        <f t="shared" si="13"/>
        <v>6.2866666666666671</v>
      </c>
      <c r="M59" s="142">
        <f t="shared" si="13"/>
        <v>371.24166666666667</v>
      </c>
      <c r="N59" s="142">
        <f t="shared" si="13"/>
        <v>58.925833333333337</v>
      </c>
      <c r="O59" s="142">
        <f t="shared" si="13"/>
        <v>93.775833333333338</v>
      </c>
      <c r="P59" s="142">
        <f t="shared" si="13"/>
        <v>22.813333333333333</v>
      </c>
      <c r="Q59" s="142">
        <f t="shared" si="13"/>
        <v>7.2858333333333336</v>
      </c>
      <c r="R59" s="142">
        <f t="shared" si="13"/>
        <v>0.58666666666666667</v>
      </c>
      <c r="S59" s="142">
        <f t="shared" si="13"/>
        <v>226.38416666666666</v>
      </c>
      <c r="T59" s="142">
        <f t="shared" si="13"/>
        <v>22.123333333333331</v>
      </c>
      <c r="U59" s="142">
        <f t="shared" si="13"/>
        <v>26.349166666666669</v>
      </c>
      <c r="V59" s="142">
        <f t="shared" si="13"/>
        <v>6.019166666666667</v>
      </c>
    </row>
    <row r="60" spans="1:22" x14ac:dyDescent="0.15">
      <c r="A60">
        <v>8</v>
      </c>
      <c r="B60" s="9" t="s">
        <v>423</v>
      </c>
      <c r="C60" s="142">
        <f t="shared" si="12"/>
        <v>169.83</v>
      </c>
      <c r="D60" s="142">
        <f t="shared" si="13"/>
        <v>61.83</v>
      </c>
      <c r="E60" s="142">
        <f t="shared" si="13"/>
        <v>40.376666666666665</v>
      </c>
      <c r="F60" s="142">
        <f t="shared" si="13"/>
        <v>6.81</v>
      </c>
      <c r="G60" s="142">
        <f t="shared" si="13"/>
        <v>32.436666666666667</v>
      </c>
      <c r="H60" s="142">
        <f t="shared" si="13"/>
        <v>5.59</v>
      </c>
      <c r="I60" s="142">
        <f t="shared" si="13"/>
        <v>51.696666666666665</v>
      </c>
      <c r="J60" s="142">
        <f t="shared" si="13"/>
        <v>10.303333333333333</v>
      </c>
      <c r="K60" s="142">
        <f t="shared" si="13"/>
        <v>58.596666666666671</v>
      </c>
      <c r="L60" s="142">
        <f t="shared" si="13"/>
        <v>6.2933333333333339</v>
      </c>
      <c r="M60" s="142">
        <f t="shared" si="13"/>
        <v>370.88333333333333</v>
      </c>
      <c r="N60" s="142">
        <f t="shared" si="13"/>
        <v>58.81666666666667</v>
      </c>
      <c r="O60" s="142">
        <f t="shared" si="13"/>
        <v>93.706666666666678</v>
      </c>
      <c r="P60" s="142">
        <f t="shared" si="13"/>
        <v>22.836666666666666</v>
      </c>
      <c r="Q60" s="142">
        <f t="shared" si="13"/>
        <v>7.2766666666666664</v>
      </c>
      <c r="R60" s="142">
        <f t="shared" si="13"/>
        <v>0.58333333333333326</v>
      </c>
      <c r="S60" s="142">
        <f t="shared" si="13"/>
        <v>226.83333333333334</v>
      </c>
      <c r="T60" s="142">
        <f t="shared" si="13"/>
        <v>22.106666666666666</v>
      </c>
      <c r="U60" s="142">
        <f t="shared" si="13"/>
        <v>26.453333333333333</v>
      </c>
      <c r="V60" s="142">
        <f t="shared" si="13"/>
        <v>6.0333333333333332</v>
      </c>
    </row>
    <row r="61" spans="1:22" x14ac:dyDescent="0.15">
      <c r="A61">
        <v>9</v>
      </c>
      <c r="B61" s="9" t="s">
        <v>424</v>
      </c>
      <c r="C61" s="142">
        <f t="shared" si="12"/>
        <v>169.89250000000001</v>
      </c>
      <c r="D61" s="142">
        <f t="shared" si="13"/>
        <v>61.987499999999997</v>
      </c>
      <c r="E61" s="142">
        <f t="shared" si="13"/>
        <v>40.532499999999999</v>
      </c>
      <c r="F61" s="142">
        <f t="shared" si="13"/>
        <v>6.82</v>
      </c>
      <c r="G61" s="142">
        <f t="shared" si="13"/>
        <v>32.542499999999997</v>
      </c>
      <c r="H61" s="142">
        <f t="shared" si="13"/>
        <v>5.6025</v>
      </c>
      <c r="I61" s="142">
        <f t="shared" si="13"/>
        <v>51.870000000000005</v>
      </c>
      <c r="J61" s="142">
        <f t="shared" si="13"/>
        <v>10.317499999999999</v>
      </c>
      <c r="K61" s="142">
        <f t="shared" si="13"/>
        <v>58.702500000000001</v>
      </c>
      <c r="L61" s="142">
        <f t="shared" si="13"/>
        <v>6.3000000000000007</v>
      </c>
      <c r="M61" s="142">
        <f t="shared" si="13"/>
        <v>370.52499999999998</v>
      </c>
      <c r="N61" s="142">
        <f t="shared" si="13"/>
        <v>58.707500000000003</v>
      </c>
      <c r="O61" s="142">
        <f t="shared" si="13"/>
        <v>93.637500000000003</v>
      </c>
      <c r="P61" s="142">
        <f t="shared" si="13"/>
        <v>22.86</v>
      </c>
      <c r="Q61" s="142">
        <f t="shared" si="13"/>
        <v>7.2675000000000001</v>
      </c>
      <c r="R61" s="142">
        <f t="shared" si="13"/>
        <v>0.57999999999999996</v>
      </c>
      <c r="S61" s="142">
        <f t="shared" si="13"/>
        <v>227.2825</v>
      </c>
      <c r="T61" s="142">
        <f t="shared" si="13"/>
        <v>22.09</v>
      </c>
      <c r="U61" s="142">
        <f t="shared" si="13"/>
        <v>26.557500000000001</v>
      </c>
      <c r="V61" s="142">
        <f t="shared" si="13"/>
        <v>6.0474999999999994</v>
      </c>
    </row>
    <row r="62" spans="1:22" x14ac:dyDescent="0.15">
      <c r="A62">
        <v>10</v>
      </c>
      <c r="B62" s="9" t="s">
        <v>425</v>
      </c>
      <c r="C62" s="142">
        <f t="shared" si="12"/>
        <v>169.95500000000001</v>
      </c>
      <c r="D62" s="142">
        <f t="shared" si="13"/>
        <v>62.145000000000003</v>
      </c>
      <c r="E62" s="142">
        <f t="shared" si="13"/>
        <v>40.688333333333333</v>
      </c>
      <c r="F62" s="142">
        <f t="shared" si="13"/>
        <v>6.83</v>
      </c>
      <c r="G62" s="142">
        <f t="shared" si="13"/>
        <v>32.648333333333333</v>
      </c>
      <c r="H62" s="142">
        <f t="shared" si="13"/>
        <v>5.6150000000000002</v>
      </c>
      <c r="I62" s="142">
        <f t="shared" si="13"/>
        <v>52.043333333333337</v>
      </c>
      <c r="J62" s="142">
        <f t="shared" si="13"/>
        <v>10.331666666666667</v>
      </c>
      <c r="K62" s="142">
        <f t="shared" si="13"/>
        <v>58.808333333333337</v>
      </c>
      <c r="L62" s="142">
        <f t="shared" si="13"/>
        <v>6.3066666666666666</v>
      </c>
      <c r="M62" s="142">
        <f t="shared" si="13"/>
        <v>370.16666666666663</v>
      </c>
      <c r="N62" s="142">
        <f t="shared" si="13"/>
        <v>58.598333333333336</v>
      </c>
      <c r="O62" s="142">
        <f t="shared" si="13"/>
        <v>93.568333333333342</v>
      </c>
      <c r="P62" s="142">
        <f t="shared" si="13"/>
        <v>22.883333333333333</v>
      </c>
      <c r="Q62" s="142">
        <f t="shared" si="13"/>
        <v>7.2583333333333337</v>
      </c>
      <c r="R62" s="142">
        <f t="shared" si="13"/>
        <v>0.57666666666666666</v>
      </c>
      <c r="S62" s="142">
        <f t="shared" si="13"/>
        <v>227.73166666666665</v>
      </c>
      <c r="T62" s="142">
        <f t="shared" si="13"/>
        <v>22.073333333333331</v>
      </c>
      <c r="U62" s="142">
        <f t="shared" si="13"/>
        <v>26.661666666666669</v>
      </c>
      <c r="V62" s="142">
        <f t="shared" si="13"/>
        <v>6.0616666666666665</v>
      </c>
    </row>
    <row r="63" spans="1:22" x14ac:dyDescent="0.15">
      <c r="A63">
        <v>11</v>
      </c>
      <c r="B63" s="9" t="s">
        <v>426</v>
      </c>
      <c r="C63" s="142">
        <f t="shared" si="12"/>
        <v>170.01750000000001</v>
      </c>
      <c r="D63" s="142">
        <f t="shared" si="13"/>
        <v>62.302500000000002</v>
      </c>
      <c r="E63" s="142">
        <f t="shared" si="13"/>
        <v>40.844166666666666</v>
      </c>
      <c r="F63" s="142">
        <f t="shared" si="13"/>
        <v>6.84</v>
      </c>
      <c r="G63" s="142">
        <f t="shared" si="13"/>
        <v>32.754166666666663</v>
      </c>
      <c r="H63" s="142">
        <f t="shared" si="13"/>
        <v>5.6274999999999995</v>
      </c>
      <c r="I63" s="142">
        <f t="shared" si="13"/>
        <v>52.216666666666669</v>
      </c>
      <c r="J63" s="142">
        <f t="shared" si="13"/>
        <v>10.345833333333333</v>
      </c>
      <c r="K63" s="142">
        <f t="shared" si="13"/>
        <v>58.914166666666667</v>
      </c>
      <c r="L63" s="142">
        <f t="shared" si="13"/>
        <v>6.3133333333333335</v>
      </c>
      <c r="M63" s="142">
        <f t="shared" si="13"/>
        <v>369.80833333333334</v>
      </c>
      <c r="N63" s="142">
        <f t="shared" si="13"/>
        <v>58.489166666666669</v>
      </c>
      <c r="O63" s="142">
        <f t="shared" si="13"/>
        <v>93.499166666666667</v>
      </c>
      <c r="P63" s="142">
        <f t="shared" si="13"/>
        <v>22.906666666666666</v>
      </c>
      <c r="Q63" s="142">
        <f t="shared" si="13"/>
        <v>7.2491666666666665</v>
      </c>
      <c r="R63" s="142">
        <f t="shared" si="13"/>
        <v>0.57333333333333325</v>
      </c>
      <c r="S63" s="142">
        <f t="shared" si="13"/>
        <v>228.18083333333334</v>
      </c>
      <c r="T63" s="142">
        <f t="shared" si="13"/>
        <v>22.056666666666665</v>
      </c>
      <c r="U63" s="142">
        <f t="shared" si="13"/>
        <v>26.765833333333333</v>
      </c>
      <c r="V63" s="142">
        <f t="shared" si="13"/>
        <v>6.0758333333333336</v>
      </c>
    </row>
    <row r="64" spans="1:22" x14ac:dyDescent="0.15">
      <c r="B64" s="9" t="s">
        <v>427</v>
      </c>
      <c r="C64" s="142">
        <f>熊本県基準値!B11</f>
        <v>170.08</v>
      </c>
      <c r="D64" s="142">
        <f>熊本県基準値!C11</f>
        <v>62.46</v>
      </c>
      <c r="E64" s="143">
        <f>熊本県基準値!D11</f>
        <v>41</v>
      </c>
      <c r="F64" s="143">
        <f>熊本県基準値!E11</f>
        <v>6.85</v>
      </c>
      <c r="G64" s="143">
        <f>熊本県基準値!F11</f>
        <v>32.86</v>
      </c>
      <c r="H64" s="143">
        <f>熊本県基準値!G11</f>
        <v>5.64</v>
      </c>
      <c r="I64" s="143">
        <f>熊本県基準値!H11</f>
        <v>52.39</v>
      </c>
      <c r="J64" s="143">
        <f>熊本県基準値!I11</f>
        <v>10.36</v>
      </c>
      <c r="K64" s="144">
        <f>熊本県基準値!J11</f>
        <v>59.02</v>
      </c>
      <c r="L64" s="144">
        <f>熊本県基準値!K11</f>
        <v>6.32</v>
      </c>
      <c r="M64" s="142">
        <f>熊本県基準値!L11</f>
        <v>369.45</v>
      </c>
      <c r="N64" s="142">
        <f>熊本県基準値!M11</f>
        <v>58.38</v>
      </c>
      <c r="O64" s="144">
        <f>熊本県基準値!N11</f>
        <v>93.43</v>
      </c>
      <c r="P64" s="144">
        <f>熊本県基準値!O11</f>
        <v>22.93</v>
      </c>
      <c r="Q64" s="143">
        <f>熊本県基準値!P11</f>
        <v>7.24</v>
      </c>
      <c r="R64" s="143">
        <f>熊本県基準値!Q11</f>
        <v>0.56999999999999995</v>
      </c>
      <c r="S64" s="142">
        <f>熊本県基準値!R11</f>
        <v>228.63</v>
      </c>
      <c r="T64" s="142">
        <f>熊本県基準値!S11</f>
        <v>22.04</v>
      </c>
      <c r="U64" s="142">
        <f>熊本県基準値!T11</f>
        <v>26.87</v>
      </c>
      <c r="V64" s="142">
        <f>熊本県基準値!U11</f>
        <v>6.09</v>
      </c>
    </row>
    <row r="65" spans="1:26" x14ac:dyDescent="0.15">
      <c r="B65" s="9" t="s">
        <v>428</v>
      </c>
      <c r="C65" s="142">
        <f>C64+C64-C63</f>
        <v>170.14250000000001</v>
      </c>
      <c r="D65" s="142">
        <f t="shared" ref="D65:V75" si="15">D64+D64-D63</f>
        <v>62.6175</v>
      </c>
      <c r="E65" s="142">
        <f t="shared" si="15"/>
        <v>41.155833333333334</v>
      </c>
      <c r="F65" s="142">
        <f t="shared" si="15"/>
        <v>6.8599999999999994</v>
      </c>
      <c r="G65" s="142">
        <f t="shared" si="15"/>
        <v>32.965833333333336</v>
      </c>
      <c r="H65" s="142">
        <f t="shared" si="15"/>
        <v>5.6524999999999999</v>
      </c>
      <c r="I65" s="142">
        <f t="shared" si="15"/>
        <v>52.563333333333333</v>
      </c>
      <c r="J65" s="142">
        <f t="shared" si="15"/>
        <v>10.374166666666666</v>
      </c>
      <c r="K65" s="142">
        <f t="shared" si="15"/>
        <v>59.12583333333334</v>
      </c>
      <c r="L65" s="142">
        <f t="shared" si="15"/>
        <v>6.3266666666666671</v>
      </c>
      <c r="M65" s="142">
        <f t="shared" si="15"/>
        <v>369.09166666666664</v>
      </c>
      <c r="N65" s="142">
        <f t="shared" si="15"/>
        <v>58.270833333333336</v>
      </c>
      <c r="O65" s="142">
        <f t="shared" si="15"/>
        <v>93.360833333333346</v>
      </c>
      <c r="P65" s="142">
        <f t="shared" si="15"/>
        <v>22.953333333333333</v>
      </c>
      <c r="Q65" s="142">
        <f t="shared" si="15"/>
        <v>7.2308333333333339</v>
      </c>
      <c r="R65" s="142">
        <f t="shared" si="15"/>
        <v>0.56666666666666665</v>
      </c>
      <c r="S65" s="142">
        <f t="shared" si="15"/>
        <v>229.07916666666665</v>
      </c>
      <c r="T65" s="142">
        <f t="shared" si="15"/>
        <v>22.023333333333333</v>
      </c>
      <c r="U65" s="142">
        <f t="shared" si="15"/>
        <v>26.974166666666669</v>
      </c>
      <c r="V65" s="142">
        <f t="shared" si="15"/>
        <v>6.1041666666666661</v>
      </c>
    </row>
    <row r="66" spans="1:26" x14ac:dyDescent="0.15">
      <c r="B66" s="9" t="s">
        <v>429</v>
      </c>
      <c r="C66" s="142">
        <f t="shared" ref="C66:C75" si="16">C65+C65-C64</f>
        <v>170.20500000000001</v>
      </c>
      <c r="D66" s="142">
        <f t="shared" si="15"/>
        <v>62.774999999999999</v>
      </c>
      <c r="E66" s="142">
        <f t="shared" si="15"/>
        <v>41.311666666666667</v>
      </c>
      <c r="F66" s="142">
        <f t="shared" si="15"/>
        <v>6.8699999999999992</v>
      </c>
      <c r="G66" s="142">
        <f t="shared" si="15"/>
        <v>33.071666666666673</v>
      </c>
      <c r="H66" s="142">
        <f t="shared" si="15"/>
        <v>5.665</v>
      </c>
      <c r="I66" s="142">
        <f t="shared" si="15"/>
        <v>52.736666666666665</v>
      </c>
      <c r="J66" s="142">
        <f t="shared" si="15"/>
        <v>10.388333333333332</v>
      </c>
      <c r="K66" s="142">
        <f t="shared" si="15"/>
        <v>59.231666666666676</v>
      </c>
      <c r="L66" s="142">
        <f t="shared" si="15"/>
        <v>6.3333333333333339</v>
      </c>
      <c r="M66" s="142">
        <f t="shared" si="15"/>
        <v>368.73333333333329</v>
      </c>
      <c r="N66" s="142">
        <f t="shared" si="15"/>
        <v>58.161666666666669</v>
      </c>
      <c r="O66" s="142">
        <f t="shared" si="15"/>
        <v>93.291666666666686</v>
      </c>
      <c r="P66" s="142">
        <f t="shared" si="15"/>
        <v>22.976666666666667</v>
      </c>
      <c r="Q66" s="142">
        <f t="shared" si="15"/>
        <v>7.2216666666666676</v>
      </c>
      <c r="R66" s="142">
        <f t="shared" si="15"/>
        <v>0.56333333333333335</v>
      </c>
      <c r="S66" s="142">
        <f t="shared" si="15"/>
        <v>229.52833333333331</v>
      </c>
      <c r="T66" s="142">
        <f t="shared" si="15"/>
        <v>22.006666666666668</v>
      </c>
      <c r="U66" s="142">
        <f t="shared" si="15"/>
        <v>27.078333333333337</v>
      </c>
      <c r="V66" s="142">
        <f t="shared" si="15"/>
        <v>6.1183333333333323</v>
      </c>
    </row>
    <row r="67" spans="1:26" x14ac:dyDescent="0.15">
      <c r="B67" s="9" t="s">
        <v>430</v>
      </c>
      <c r="C67" s="142">
        <f t="shared" si="16"/>
        <v>170.26750000000001</v>
      </c>
      <c r="D67" s="142">
        <f t="shared" si="15"/>
        <v>62.932499999999997</v>
      </c>
      <c r="E67" s="142">
        <f t="shared" si="15"/>
        <v>41.467500000000001</v>
      </c>
      <c r="F67" s="142">
        <f t="shared" si="15"/>
        <v>6.879999999999999</v>
      </c>
      <c r="G67" s="142">
        <f t="shared" si="15"/>
        <v>33.177500000000009</v>
      </c>
      <c r="H67" s="142">
        <f t="shared" si="15"/>
        <v>5.6775000000000002</v>
      </c>
      <c r="I67" s="142">
        <f t="shared" si="15"/>
        <v>52.91</v>
      </c>
      <c r="J67" s="142">
        <f t="shared" si="15"/>
        <v>10.402499999999998</v>
      </c>
      <c r="K67" s="142">
        <f t="shared" si="15"/>
        <v>59.337500000000013</v>
      </c>
      <c r="L67" s="142">
        <f t="shared" si="15"/>
        <v>6.3400000000000007</v>
      </c>
      <c r="M67" s="142">
        <f t="shared" si="15"/>
        <v>368.37499999999994</v>
      </c>
      <c r="N67" s="142">
        <f t="shared" si="15"/>
        <v>58.052500000000002</v>
      </c>
      <c r="O67" s="142">
        <f t="shared" si="15"/>
        <v>93.222500000000025</v>
      </c>
      <c r="P67" s="142">
        <f t="shared" si="15"/>
        <v>23</v>
      </c>
      <c r="Q67" s="142">
        <f t="shared" si="15"/>
        <v>7.2125000000000012</v>
      </c>
      <c r="R67" s="142">
        <f t="shared" si="15"/>
        <v>0.56000000000000005</v>
      </c>
      <c r="S67" s="142">
        <f t="shared" si="15"/>
        <v>229.97749999999996</v>
      </c>
      <c r="T67" s="142">
        <f t="shared" si="15"/>
        <v>21.990000000000002</v>
      </c>
      <c r="U67" s="142">
        <f t="shared" si="15"/>
        <v>27.182500000000005</v>
      </c>
      <c r="V67" s="142">
        <f t="shared" si="15"/>
        <v>6.1324999999999985</v>
      </c>
    </row>
    <row r="68" spans="1:26" x14ac:dyDescent="0.15">
      <c r="B68" s="9" t="s">
        <v>431</v>
      </c>
      <c r="C68" s="142">
        <f t="shared" si="16"/>
        <v>170.33</v>
      </c>
      <c r="D68" s="142">
        <f t="shared" si="15"/>
        <v>63.089999999999996</v>
      </c>
      <c r="E68" s="142">
        <f t="shared" si="15"/>
        <v>41.623333333333335</v>
      </c>
      <c r="F68" s="142">
        <f t="shared" si="15"/>
        <v>6.8899999999999988</v>
      </c>
      <c r="G68" s="142">
        <f t="shared" si="15"/>
        <v>33.283333333333346</v>
      </c>
      <c r="H68" s="142">
        <f t="shared" si="15"/>
        <v>5.69</v>
      </c>
      <c r="I68" s="142">
        <f t="shared" si="15"/>
        <v>53.083333333333329</v>
      </c>
      <c r="J68" s="142">
        <f t="shared" si="15"/>
        <v>10.416666666666664</v>
      </c>
      <c r="K68" s="142">
        <f t="shared" si="15"/>
        <v>59.443333333333349</v>
      </c>
      <c r="L68" s="142">
        <f t="shared" si="15"/>
        <v>6.3466666666666676</v>
      </c>
      <c r="M68" s="142">
        <f t="shared" si="15"/>
        <v>368.01666666666659</v>
      </c>
      <c r="N68" s="142">
        <f t="shared" si="15"/>
        <v>57.943333333333335</v>
      </c>
      <c r="O68" s="142">
        <f t="shared" si="15"/>
        <v>93.153333333333364</v>
      </c>
      <c r="P68" s="142">
        <f t="shared" si="15"/>
        <v>23.023333333333333</v>
      </c>
      <c r="Q68" s="142">
        <f t="shared" si="15"/>
        <v>7.2033333333333349</v>
      </c>
      <c r="R68" s="142">
        <f t="shared" si="15"/>
        <v>0.55666666666666675</v>
      </c>
      <c r="S68" s="142">
        <f t="shared" si="15"/>
        <v>230.42666666666662</v>
      </c>
      <c r="T68" s="142">
        <f t="shared" si="15"/>
        <v>21.973333333333336</v>
      </c>
      <c r="U68" s="142">
        <f t="shared" si="15"/>
        <v>27.286666666666672</v>
      </c>
      <c r="V68" s="142">
        <f t="shared" si="15"/>
        <v>6.1466666666666647</v>
      </c>
    </row>
    <row r="69" spans="1:26" x14ac:dyDescent="0.15">
      <c r="B69" s="9" t="s">
        <v>432</v>
      </c>
      <c r="C69" s="142">
        <f t="shared" si="16"/>
        <v>170.39250000000001</v>
      </c>
      <c r="D69" s="142">
        <f t="shared" si="15"/>
        <v>63.247499999999995</v>
      </c>
      <c r="E69" s="142">
        <f t="shared" si="15"/>
        <v>41.779166666666669</v>
      </c>
      <c r="F69" s="142">
        <f t="shared" si="15"/>
        <v>6.8999999999999986</v>
      </c>
      <c r="G69" s="142">
        <f t="shared" si="15"/>
        <v>33.389166666666682</v>
      </c>
      <c r="H69" s="142">
        <f t="shared" si="15"/>
        <v>5.7025000000000006</v>
      </c>
      <c r="I69" s="142">
        <f t="shared" si="15"/>
        <v>53.256666666666661</v>
      </c>
      <c r="J69" s="142">
        <f t="shared" si="15"/>
        <v>10.430833333333331</v>
      </c>
      <c r="K69" s="142">
        <f t="shared" si="15"/>
        <v>59.549166666666686</v>
      </c>
      <c r="L69" s="142">
        <f t="shared" si="15"/>
        <v>6.3533333333333344</v>
      </c>
      <c r="M69" s="142">
        <f t="shared" si="15"/>
        <v>367.65833333333325</v>
      </c>
      <c r="N69" s="142">
        <f t="shared" si="15"/>
        <v>57.834166666666668</v>
      </c>
      <c r="O69" s="142">
        <f t="shared" si="15"/>
        <v>93.084166666666704</v>
      </c>
      <c r="P69" s="142">
        <f t="shared" si="15"/>
        <v>23.046666666666667</v>
      </c>
      <c r="Q69" s="142">
        <f t="shared" si="15"/>
        <v>7.1941666666666686</v>
      </c>
      <c r="R69" s="142">
        <f t="shared" si="15"/>
        <v>0.55333333333333345</v>
      </c>
      <c r="S69" s="142">
        <f t="shared" si="15"/>
        <v>230.87583333333328</v>
      </c>
      <c r="T69" s="142">
        <f t="shared" si="15"/>
        <v>21.956666666666671</v>
      </c>
      <c r="U69" s="142">
        <f t="shared" si="15"/>
        <v>27.39083333333334</v>
      </c>
      <c r="V69" s="142">
        <f t="shared" si="15"/>
        <v>6.1608333333333309</v>
      </c>
    </row>
    <row r="70" spans="1:26" x14ac:dyDescent="0.15">
      <c r="B70" s="9" t="s">
        <v>433</v>
      </c>
      <c r="C70" s="142">
        <f t="shared" si="16"/>
        <v>170.45500000000001</v>
      </c>
      <c r="D70" s="142">
        <f>D69+D69-D68</f>
        <v>63.404999999999994</v>
      </c>
      <c r="E70" s="142">
        <f t="shared" si="15"/>
        <v>41.935000000000002</v>
      </c>
      <c r="F70" s="142">
        <f t="shared" si="15"/>
        <v>6.9099999999999984</v>
      </c>
      <c r="G70" s="142">
        <f t="shared" si="15"/>
        <v>33.495000000000019</v>
      </c>
      <c r="H70" s="142">
        <f t="shared" si="15"/>
        <v>5.7150000000000007</v>
      </c>
      <c r="I70" s="142">
        <f t="shared" si="15"/>
        <v>53.429999999999993</v>
      </c>
      <c r="J70" s="142">
        <f t="shared" si="15"/>
        <v>10.444999999999997</v>
      </c>
      <c r="K70" s="142">
        <f t="shared" si="15"/>
        <v>59.655000000000022</v>
      </c>
      <c r="L70" s="142">
        <f t="shared" si="15"/>
        <v>6.3600000000000012</v>
      </c>
      <c r="M70" s="142">
        <f t="shared" si="15"/>
        <v>367.2999999999999</v>
      </c>
      <c r="N70" s="142">
        <f t="shared" si="15"/>
        <v>57.725000000000001</v>
      </c>
      <c r="O70" s="142">
        <f t="shared" si="15"/>
        <v>93.015000000000043</v>
      </c>
      <c r="P70" s="142">
        <f t="shared" si="15"/>
        <v>23.07</v>
      </c>
      <c r="Q70" s="142">
        <f t="shared" si="15"/>
        <v>7.1850000000000023</v>
      </c>
      <c r="R70" s="142">
        <f t="shared" si="15"/>
        <v>0.55000000000000016</v>
      </c>
      <c r="S70" s="142">
        <f t="shared" si="15"/>
        <v>231.32499999999993</v>
      </c>
      <c r="T70" s="142">
        <f t="shared" si="15"/>
        <v>21.940000000000005</v>
      </c>
      <c r="U70" s="142">
        <f t="shared" si="15"/>
        <v>27.495000000000008</v>
      </c>
      <c r="V70" s="142">
        <f t="shared" si="15"/>
        <v>6.1749999999999972</v>
      </c>
    </row>
    <row r="71" spans="1:26" x14ac:dyDescent="0.15">
      <c r="B71" s="9" t="s">
        <v>434</v>
      </c>
      <c r="C71" s="142">
        <f t="shared" si="16"/>
        <v>170.51750000000001</v>
      </c>
      <c r="D71" s="142">
        <f t="shared" si="15"/>
        <v>63.562499999999993</v>
      </c>
      <c r="E71" s="142">
        <f t="shared" si="15"/>
        <v>42.090833333333336</v>
      </c>
      <c r="F71" s="142">
        <f t="shared" si="15"/>
        <v>6.9199999999999982</v>
      </c>
      <c r="G71" s="142">
        <f t="shared" si="15"/>
        <v>33.600833333333355</v>
      </c>
      <c r="H71" s="142">
        <f t="shared" si="15"/>
        <v>5.7275000000000009</v>
      </c>
      <c r="I71" s="142">
        <f t="shared" si="15"/>
        <v>53.603333333333325</v>
      </c>
      <c r="J71" s="142">
        <f t="shared" si="15"/>
        <v>10.459166666666663</v>
      </c>
      <c r="K71" s="142">
        <f t="shared" si="15"/>
        <v>59.760833333333359</v>
      </c>
      <c r="L71" s="142">
        <f t="shared" si="15"/>
        <v>6.366666666666668</v>
      </c>
      <c r="M71" s="142">
        <f t="shared" si="15"/>
        <v>366.94166666666655</v>
      </c>
      <c r="N71" s="142">
        <f t="shared" si="15"/>
        <v>57.615833333333335</v>
      </c>
      <c r="O71" s="142">
        <f t="shared" si="15"/>
        <v>92.945833333333383</v>
      </c>
      <c r="P71" s="142">
        <f t="shared" si="15"/>
        <v>23.093333333333334</v>
      </c>
      <c r="Q71" s="142">
        <f t="shared" si="15"/>
        <v>7.175833333333336</v>
      </c>
      <c r="R71" s="142">
        <f t="shared" si="15"/>
        <v>0.54666666666666686</v>
      </c>
      <c r="S71" s="142">
        <f t="shared" si="15"/>
        <v>231.77416666666659</v>
      </c>
      <c r="T71" s="142">
        <f t="shared" si="15"/>
        <v>21.923333333333339</v>
      </c>
      <c r="U71" s="142">
        <f t="shared" si="15"/>
        <v>27.599166666666676</v>
      </c>
      <c r="V71" s="142">
        <f t="shared" si="15"/>
        <v>6.1891666666666634</v>
      </c>
    </row>
    <row r="72" spans="1:26" x14ac:dyDescent="0.15">
      <c r="B72" s="9" t="s">
        <v>435</v>
      </c>
      <c r="C72" s="142">
        <f t="shared" si="16"/>
        <v>170.58</v>
      </c>
      <c r="D72" s="142">
        <f t="shared" si="15"/>
        <v>63.719999999999992</v>
      </c>
      <c r="E72" s="142">
        <f t="shared" si="15"/>
        <v>42.24666666666667</v>
      </c>
      <c r="F72" s="142">
        <f t="shared" si="15"/>
        <v>6.9299999999999979</v>
      </c>
      <c r="G72" s="142">
        <f t="shared" si="15"/>
        <v>33.706666666666692</v>
      </c>
      <c r="H72" s="142">
        <f t="shared" si="15"/>
        <v>5.7400000000000011</v>
      </c>
      <c r="I72" s="142">
        <f t="shared" si="15"/>
        <v>53.776666666666657</v>
      </c>
      <c r="J72" s="142">
        <f t="shared" si="15"/>
        <v>10.473333333333329</v>
      </c>
      <c r="K72" s="142">
        <f t="shared" si="15"/>
        <v>59.866666666666696</v>
      </c>
      <c r="L72" s="142">
        <f t="shared" si="15"/>
        <v>6.3733333333333348</v>
      </c>
      <c r="M72" s="142">
        <f t="shared" si="15"/>
        <v>366.5833333333332</v>
      </c>
      <c r="N72" s="142">
        <f t="shared" si="15"/>
        <v>57.506666666666668</v>
      </c>
      <c r="O72" s="142">
        <f t="shared" si="15"/>
        <v>92.876666666666722</v>
      </c>
      <c r="P72" s="142">
        <f t="shared" si="15"/>
        <v>23.116666666666667</v>
      </c>
      <c r="Q72" s="142">
        <f t="shared" si="15"/>
        <v>7.1666666666666696</v>
      </c>
      <c r="R72" s="142">
        <f t="shared" si="15"/>
        <v>0.54333333333333356</v>
      </c>
      <c r="S72" s="142">
        <f t="shared" si="15"/>
        <v>232.22333333333324</v>
      </c>
      <c r="T72" s="142">
        <f t="shared" si="15"/>
        <v>21.906666666666673</v>
      </c>
      <c r="U72" s="142">
        <f t="shared" si="15"/>
        <v>27.703333333333344</v>
      </c>
      <c r="V72" s="142">
        <f t="shared" si="15"/>
        <v>6.2033333333333296</v>
      </c>
    </row>
    <row r="73" spans="1:26" x14ac:dyDescent="0.15">
      <c r="B73" s="9" t="s">
        <v>436</v>
      </c>
      <c r="C73" s="142">
        <f t="shared" si="16"/>
        <v>170.64250000000001</v>
      </c>
      <c r="D73" s="142">
        <f t="shared" si="15"/>
        <v>63.877499999999991</v>
      </c>
      <c r="E73" s="142">
        <f t="shared" si="15"/>
        <v>42.402500000000003</v>
      </c>
      <c r="F73" s="142">
        <f t="shared" si="15"/>
        <v>6.9399999999999977</v>
      </c>
      <c r="G73" s="142">
        <f t="shared" si="15"/>
        <v>33.812500000000028</v>
      </c>
      <c r="H73" s="142">
        <f t="shared" si="15"/>
        <v>5.7525000000000013</v>
      </c>
      <c r="I73" s="142">
        <f t="shared" si="15"/>
        <v>53.949999999999989</v>
      </c>
      <c r="J73" s="142">
        <f t="shared" si="15"/>
        <v>10.487499999999995</v>
      </c>
      <c r="K73" s="142">
        <f t="shared" si="15"/>
        <v>59.972500000000032</v>
      </c>
      <c r="L73" s="142">
        <f t="shared" si="15"/>
        <v>6.3800000000000017</v>
      </c>
      <c r="M73" s="142">
        <f t="shared" si="15"/>
        <v>366.22499999999985</v>
      </c>
      <c r="N73" s="142">
        <f t="shared" si="15"/>
        <v>57.397500000000001</v>
      </c>
      <c r="O73" s="142">
        <f t="shared" si="15"/>
        <v>92.807500000000061</v>
      </c>
      <c r="P73" s="142">
        <f t="shared" si="15"/>
        <v>23.14</v>
      </c>
      <c r="Q73" s="142">
        <f t="shared" si="15"/>
        <v>7.1575000000000033</v>
      </c>
      <c r="R73" s="142">
        <f t="shared" si="15"/>
        <v>0.54000000000000026</v>
      </c>
      <c r="S73" s="142">
        <f t="shared" si="15"/>
        <v>232.6724999999999</v>
      </c>
      <c r="T73" s="142">
        <f t="shared" si="15"/>
        <v>21.890000000000008</v>
      </c>
      <c r="U73" s="142">
        <f t="shared" si="15"/>
        <v>27.807500000000012</v>
      </c>
      <c r="V73" s="142">
        <f t="shared" si="15"/>
        <v>6.2174999999999958</v>
      </c>
    </row>
    <row r="74" spans="1:26" x14ac:dyDescent="0.15">
      <c r="B74" s="9" t="s">
        <v>437</v>
      </c>
      <c r="C74" s="142">
        <f t="shared" si="16"/>
        <v>170.70500000000001</v>
      </c>
      <c r="D74" s="142">
        <f t="shared" si="15"/>
        <v>64.034999999999997</v>
      </c>
      <c r="E74" s="142">
        <f t="shared" si="15"/>
        <v>42.558333333333337</v>
      </c>
      <c r="F74" s="142">
        <f t="shared" si="15"/>
        <v>6.9499999999999975</v>
      </c>
      <c r="G74" s="142">
        <f t="shared" si="15"/>
        <v>33.918333333333365</v>
      </c>
      <c r="H74" s="142">
        <f t="shared" si="15"/>
        <v>5.7650000000000015</v>
      </c>
      <c r="I74" s="142">
        <f t="shared" si="15"/>
        <v>54.123333333333321</v>
      </c>
      <c r="J74" s="142">
        <f t="shared" si="15"/>
        <v>10.501666666666662</v>
      </c>
      <c r="K74" s="142">
        <f t="shared" si="15"/>
        <v>60.078333333333369</v>
      </c>
      <c r="L74" s="142">
        <f t="shared" si="15"/>
        <v>6.3866666666666685</v>
      </c>
      <c r="M74" s="142">
        <f t="shared" si="15"/>
        <v>365.8666666666665</v>
      </c>
      <c r="N74" s="142">
        <f t="shared" si="15"/>
        <v>57.288333333333334</v>
      </c>
      <c r="O74" s="142">
        <f t="shared" si="15"/>
        <v>92.738333333333401</v>
      </c>
      <c r="P74" s="142">
        <f t="shared" si="15"/>
        <v>23.163333333333334</v>
      </c>
      <c r="Q74" s="142">
        <f t="shared" si="15"/>
        <v>7.148333333333337</v>
      </c>
      <c r="R74" s="142">
        <f t="shared" si="15"/>
        <v>0.53666666666666696</v>
      </c>
      <c r="S74" s="142">
        <f t="shared" si="15"/>
        <v>233.12166666666656</v>
      </c>
      <c r="T74" s="142">
        <f t="shared" si="15"/>
        <v>21.873333333333342</v>
      </c>
      <c r="U74" s="142">
        <f t="shared" si="15"/>
        <v>27.91166666666668</v>
      </c>
      <c r="V74" s="142">
        <f t="shared" si="15"/>
        <v>6.231666666666662</v>
      </c>
    </row>
    <row r="75" spans="1:26" x14ac:dyDescent="0.15">
      <c r="B75" s="9" t="s">
        <v>438</v>
      </c>
      <c r="C75" s="142">
        <f t="shared" si="16"/>
        <v>170.76750000000001</v>
      </c>
      <c r="D75" s="142">
        <f t="shared" si="15"/>
        <v>64.192499999999995</v>
      </c>
      <c r="E75" s="142">
        <f t="shared" si="15"/>
        <v>42.714166666666671</v>
      </c>
      <c r="F75" s="142">
        <f t="shared" si="15"/>
        <v>6.9599999999999973</v>
      </c>
      <c r="G75" s="142">
        <f t="shared" si="15"/>
        <v>34.024166666666702</v>
      </c>
      <c r="H75" s="142">
        <f t="shared" si="15"/>
        <v>5.7775000000000016</v>
      </c>
      <c r="I75" s="142">
        <f t="shared" si="15"/>
        <v>54.296666666666653</v>
      </c>
      <c r="J75" s="142">
        <f t="shared" si="15"/>
        <v>10.515833333333328</v>
      </c>
      <c r="K75" s="142">
        <f t="shared" si="15"/>
        <v>60.184166666666705</v>
      </c>
      <c r="L75" s="142">
        <f t="shared" si="15"/>
        <v>6.3933333333333353</v>
      </c>
      <c r="M75" s="142">
        <f t="shared" si="15"/>
        <v>365.50833333333316</v>
      </c>
      <c r="N75" s="142">
        <f t="shared" si="15"/>
        <v>57.179166666666667</v>
      </c>
      <c r="O75" s="142">
        <f t="shared" si="15"/>
        <v>92.66916666666674</v>
      </c>
      <c r="P75" s="142">
        <f t="shared" si="15"/>
        <v>23.186666666666667</v>
      </c>
      <c r="Q75" s="142">
        <f t="shared" si="15"/>
        <v>7.1391666666666707</v>
      </c>
      <c r="R75" s="142">
        <f t="shared" si="15"/>
        <v>0.53333333333333366</v>
      </c>
      <c r="S75" s="142">
        <f t="shared" si="15"/>
        <v>233.57083333333321</v>
      </c>
      <c r="T75" s="142">
        <f t="shared" si="15"/>
        <v>21.856666666666676</v>
      </c>
      <c r="U75" s="142">
        <f t="shared" si="15"/>
        <v>28.015833333333347</v>
      </c>
      <c r="V75" s="142">
        <f t="shared" si="15"/>
        <v>6.2458333333333282</v>
      </c>
    </row>
    <row r="76" spans="1:26" x14ac:dyDescent="0.15">
      <c r="B76" s="11" t="s">
        <v>32</v>
      </c>
      <c r="C76" s="145" t="s">
        <v>30</v>
      </c>
      <c r="D76" s="145" t="s">
        <v>30</v>
      </c>
      <c r="E76" s="145" t="s">
        <v>30</v>
      </c>
      <c r="F76" s="146" t="s">
        <v>31</v>
      </c>
      <c r="G76" s="145" t="s">
        <v>30</v>
      </c>
      <c r="H76" s="146" t="s">
        <v>31</v>
      </c>
      <c r="I76" s="145" t="s">
        <v>30</v>
      </c>
      <c r="J76" s="146" t="s">
        <v>31</v>
      </c>
      <c r="K76" s="145" t="s">
        <v>30</v>
      </c>
      <c r="L76" s="146" t="s">
        <v>31</v>
      </c>
      <c r="M76" s="145" t="s">
        <v>30</v>
      </c>
      <c r="N76" s="146" t="s">
        <v>31</v>
      </c>
      <c r="O76" s="145" t="s">
        <v>30</v>
      </c>
      <c r="P76" s="146" t="s">
        <v>31</v>
      </c>
      <c r="Q76" s="145" t="s">
        <v>30</v>
      </c>
      <c r="R76" s="146" t="s">
        <v>31</v>
      </c>
      <c r="S76" s="145" t="s">
        <v>30</v>
      </c>
      <c r="T76" s="146" t="s">
        <v>31</v>
      </c>
      <c r="U76" s="145" t="s">
        <v>30</v>
      </c>
      <c r="V76" s="146" t="s">
        <v>31</v>
      </c>
      <c r="Z76" s="37"/>
    </row>
    <row r="77" spans="1:26" x14ac:dyDescent="0.15">
      <c r="B77" s="9" t="s">
        <v>367</v>
      </c>
      <c r="C77" s="142">
        <f>熊本県基準値!B13</f>
        <v>151.78</v>
      </c>
      <c r="D77" s="142">
        <f>熊本県基準値!C13</f>
        <v>44.48</v>
      </c>
      <c r="E77" s="143">
        <f>熊本県基準値!D13</f>
        <v>22.15</v>
      </c>
      <c r="F77" s="143">
        <f>熊本県基準値!E13</f>
        <v>5.46</v>
      </c>
      <c r="G77" s="143">
        <f>熊本県基準値!F13</f>
        <v>20.61</v>
      </c>
      <c r="H77" s="143">
        <f>熊本県基準値!G13</f>
        <v>5.79</v>
      </c>
      <c r="I77" s="143">
        <f>熊本県基準値!H13</f>
        <v>41.6</v>
      </c>
      <c r="J77" s="143">
        <f>熊本県基準値!I13</f>
        <v>9.18</v>
      </c>
      <c r="K77" s="143">
        <f>熊本県基準値!J13</f>
        <v>45.57</v>
      </c>
      <c r="L77" s="143">
        <f>熊本県基準値!K13</f>
        <v>7.04</v>
      </c>
      <c r="M77" s="142">
        <f>熊本県基準値!L13</f>
        <v>298.48</v>
      </c>
      <c r="N77" s="142">
        <f>熊本県基準値!M13</f>
        <v>48.89</v>
      </c>
      <c r="O77" s="143">
        <f>熊本県基準値!N13</f>
        <v>54.35</v>
      </c>
      <c r="P77" s="143">
        <f>熊本県基準値!O13</f>
        <v>19.27</v>
      </c>
      <c r="Q77" s="143">
        <f>熊本県基準値!P13</f>
        <v>9.07</v>
      </c>
      <c r="R77" s="143">
        <f>熊本県基準値!Q13</f>
        <v>3.26</v>
      </c>
      <c r="S77" s="144">
        <f>熊本県基準値!R13</f>
        <v>164.85</v>
      </c>
      <c r="T77" s="144">
        <f>熊本県基準値!S13</f>
        <v>22.24</v>
      </c>
      <c r="U77" s="142">
        <f>熊本県基準値!T13</f>
        <v>12.14</v>
      </c>
      <c r="V77" s="142">
        <f>熊本県基準値!U13</f>
        <v>5.38</v>
      </c>
      <c r="Z77" s="37"/>
    </row>
    <row r="78" spans="1:26" x14ac:dyDescent="0.15">
      <c r="A78">
        <v>1</v>
      </c>
      <c r="B78" s="9" t="s">
        <v>368</v>
      </c>
      <c r="C78" s="142">
        <f t="shared" ref="C78:C88" si="17">(C$89-C$77)/12*$A78+C$77</f>
        <v>152.01666666666668</v>
      </c>
      <c r="D78" s="142">
        <f t="shared" ref="D78:U88" si="18">(D$89-D$77)/12*$A78+D$77</f>
        <v>44.747499999999995</v>
      </c>
      <c r="E78" s="142">
        <f t="shared" si="18"/>
        <v>22.327500000000001</v>
      </c>
      <c r="F78" s="142">
        <f t="shared" si="18"/>
        <v>5.4675000000000002</v>
      </c>
      <c r="G78" s="142">
        <f t="shared" si="18"/>
        <v>20.8125</v>
      </c>
      <c r="H78" s="142">
        <f t="shared" si="18"/>
        <v>5.8125</v>
      </c>
      <c r="I78" s="142">
        <f t="shared" si="18"/>
        <v>41.817500000000003</v>
      </c>
      <c r="J78" s="142">
        <f t="shared" si="18"/>
        <v>9.2099999999999991</v>
      </c>
      <c r="K78" s="142">
        <f t="shared" si="18"/>
        <v>45.755000000000003</v>
      </c>
      <c r="L78" s="142">
        <f t="shared" si="18"/>
        <v>7.065833333333333</v>
      </c>
      <c r="M78" s="142">
        <f t="shared" si="18"/>
        <v>297.49250000000001</v>
      </c>
      <c r="N78" s="142">
        <f t="shared" si="18"/>
        <v>48.858333333333334</v>
      </c>
      <c r="O78" s="142">
        <f t="shared" si="18"/>
        <v>54.980833333333337</v>
      </c>
      <c r="P78" s="142">
        <f t="shared" si="18"/>
        <v>19.434999999999999</v>
      </c>
      <c r="Q78" s="142">
        <f t="shared" si="18"/>
        <v>9.0483333333333338</v>
      </c>
      <c r="R78" s="142">
        <f t="shared" si="18"/>
        <v>3.250833333333333</v>
      </c>
      <c r="S78" s="142">
        <f t="shared" si="18"/>
        <v>165.4</v>
      </c>
      <c r="T78" s="142">
        <f t="shared" si="18"/>
        <v>22.278333333333332</v>
      </c>
      <c r="U78" s="142">
        <f t="shared" si="18"/>
        <v>12.243333333333334</v>
      </c>
      <c r="V78" s="142">
        <f>(V$89-V$77)/12*$A78+V$77</f>
        <v>5.3816666666666668</v>
      </c>
    </row>
    <row r="79" spans="1:26" x14ac:dyDescent="0.15">
      <c r="A79">
        <v>2</v>
      </c>
      <c r="B79" s="9" t="s">
        <v>369</v>
      </c>
      <c r="C79" s="142">
        <f t="shared" si="17"/>
        <v>152.25333333333333</v>
      </c>
      <c r="D79" s="142">
        <f t="shared" ref="D79:R79" si="19">(D$89-D$77)/12*$A79+D$77</f>
        <v>45.015000000000001</v>
      </c>
      <c r="E79" s="142">
        <f t="shared" si="19"/>
        <v>22.504999999999999</v>
      </c>
      <c r="F79" s="142">
        <f t="shared" si="19"/>
        <v>5.4749999999999996</v>
      </c>
      <c r="G79" s="142">
        <f t="shared" si="19"/>
        <v>21.015000000000001</v>
      </c>
      <c r="H79" s="142">
        <f t="shared" si="19"/>
        <v>5.835</v>
      </c>
      <c r="I79" s="142">
        <f t="shared" si="19"/>
        <v>42.035000000000004</v>
      </c>
      <c r="J79" s="142">
        <f t="shared" si="19"/>
        <v>9.24</v>
      </c>
      <c r="K79" s="142">
        <f t="shared" si="19"/>
        <v>45.94</v>
      </c>
      <c r="L79" s="142">
        <f t="shared" si="19"/>
        <v>7.0916666666666668</v>
      </c>
      <c r="M79" s="142">
        <f t="shared" si="19"/>
        <v>296.505</v>
      </c>
      <c r="N79" s="142">
        <f t="shared" si="19"/>
        <v>48.826666666666668</v>
      </c>
      <c r="O79" s="142">
        <f t="shared" si="19"/>
        <v>55.611666666666665</v>
      </c>
      <c r="P79" s="142">
        <f t="shared" si="19"/>
        <v>19.600000000000001</v>
      </c>
      <c r="Q79" s="142">
        <f t="shared" si="19"/>
        <v>9.0266666666666673</v>
      </c>
      <c r="R79" s="142">
        <f t="shared" si="19"/>
        <v>3.2416666666666663</v>
      </c>
      <c r="S79" s="142">
        <f t="shared" si="18"/>
        <v>165.95</v>
      </c>
      <c r="T79" s="142">
        <f t="shared" si="18"/>
        <v>22.316666666666666</v>
      </c>
      <c r="U79" s="142">
        <f t="shared" si="18"/>
        <v>12.346666666666668</v>
      </c>
      <c r="V79" s="142">
        <f t="shared" ref="V79:V88" si="20">(V$89-V$77)/12*$A79+V$77</f>
        <v>5.3833333333333329</v>
      </c>
    </row>
    <row r="80" spans="1:26" x14ac:dyDescent="0.15">
      <c r="A80">
        <v>3</v>
      </c>
      <c r="B80" s="9" t="s">
        <v>370</v>
      </c>
      <c r="C80" s="142">
        <f t="shared" si="17"/>
        <v>152.49</v>
      </c>
      <c r="D80" s="142">
        <f t="shared" si="18"/>
        <v>45.282499999999999</v>
      </c>
      <c r="E80" s="142">
        <f t="shared" si="18"/>
        <v>22.682499999999997</v>
      </c>
      <c r="F80" s="142">
        <f t="shared" si="18"/>
        <v>5.4824999999999999</v>
      </c>
      <c r="G80" s="142">
        <f t="shared" si="18"/>
        <v>21.217500000000001</v>
      </c>
      <c r="H80" s="142">
        <f t="shared" si="18"/>
        <v>5.8574999999999999</v>
      </c>
      <c r="I80" s="142">
        <f t="shared" si="18"/>
        <v>42.252499999999998</v>
      </c>
      <c r="J80" s="142">
        <f t="shared" si="18"/>
        <v>9.27</v>
      </c>
      <c r="K80" s="142">
        <f t="shared" si="18"/>
        <v>46.125</v>
      </c>
      <c r="L80" s="142">
        <f t="shared" si="18"/>
        <v>7.1174999999999997</v>
      </c>
      <c r="M80" s="142">
        <f t="shared" si="18"/>
        <v>295.51750000000004</v>
      </c>
      <c r="N80" s="142">
        <f t="shared" si="18"/>
        <v>48.795000000000002</v>
      </c>
      <c r="O80" s="142">
        <f t="shared" si="18"/>
        <v>56.2425</v>
      </c>
      <c r="P80" s="142">
        <f t="shared" si="18"/>
        <v>19.765000000000001</v>
      </c>
      <c r="Q80" s="142">
        <f t="shared" si="18"/>
        <v>9.0050000000000008</v>
      </c>
      <c r="R80" s="142">
        <f t="shared" si="18"/>
        <v>3.2324999999999999</v>
      </c>
      <c r="S80" s="142">
        <f t="shared" si="18"/>
        <v>166.5</v>
      </c>
      <c r="T80" s="142">
        <f t="shared" si="18"/>
        <v>22.354999999999997</v>
      </c>
      <c r="U80" s="142">
        <f t="shared" si="18"/>
        <v>12.450000000000001</v>
      </c>
      <c r="V80" s="142">
        <f t="shared" si="20"/>
        <v>5.3849999999999998</v>
      </c>
    </row>
    <row r="81" spans="1:26" x14ac:dyDescent="0.15">
      <c r="A81">
        <v>4</v>
      </c>
      <c r="B81" s="9" t="s">
        <v>371</v>
      </c>
      <c r="C81" s="142">
        <f t="shared" si="17"/>
        <v>152.72666666666666</v>
      </c>
      <c r="D81" s="142">
        <f t="shared" si="18"/>
        <v>45.55</v>
      </c>
      <c r="E81" s="142">
        <f t="shared" si="18"/>
        <v>22.86</v>
      </c>
      <c r="F81" s="142">
        <f t="shared" si="18"/>
        <v>5.49</v>
      </c>
      <c r="G81" s="142">
        <f t="shared" si="18"/>
        <v>21.419999999999998</v>
      </c>
      <c r="H81" s="142">
        <f t="shared" si="18"/>
        <v>5.88</v>
      </c>
      <c r="I81" s="142">
        <f t="shared" si="18"/>
        <v>42.47</v>
      </c>
      <c r="J81" s="142">
        <f t="shared" si="18"/>
        <v>9.2999999999999989</v>
      </c>
      <c r="K81" s="142">
        <f t="shared" si="18"/>
        <v>46.31</v>
      </c>
      <c r="L81" s="142">
        <f t="shared" si="18"/>
        <v>7.1433333333333335</v>
      </c>
      <c r="M81" s="142">
        <f t="shared" si="18"/>
        <v>294.53000000000003</v>
      </c>
      <c r="N81" s="142">
        <f t="shared" si="18"/>
        <v>48.763333333333335</v>
      </c>
      <c r="O81" s="142">
        <f t="shared" si="18"/>
        <v>56.873333333333335</v>
      </c>
      <c r="P81" s="142">
        <f t="shared" si="18"/>
        <v>19.93</v>
      </c>
      <c r="Q81" s="142">
        <f t="shared" si="18"/>
        <v>8.9833333333333343</v>
      </c>
      <c r="R81" s="142">
        <f t="shared" si="18"/>
        <v>3.2233333333333332</v>
      </c>
      <c r="S81" s="142">
        <f t="shared" si="18"/>
        <v>167.04999999999998</v>
      </c>
      <c r="T81" s="142">
        <f t="shared" si="18"/>
        <v>22.393333333333331</v>
      </c>
      <c r="U81" s="142">
        <f t="shared" si="18"/>
        <v>12.553333333333335</v>
      </c>
      <c r="V81" s="142">
        <f t="shared" si="20"/>
        <v>5.3866666666666667</v>
      </c>
    </row>
    <row r="82" spans="1:26" x14ac:dyDescent="0.15">
      <c r="A82">
        <v>5</v>
      </c>
      <c r="B82" s="9" t="s">
        <v>372</v>
      </c>
      <c r="C82" s="142">
        <f t="shared" si="17"/>
        <v>152.96333333333334</v>
      </c>
      <c r="D82" s="142">
        <f t="shared" si="18"/>
        <v>45.817499999999995</v>
      </c>
      <c r="E82" s="142">
        <f t="shared" si="18"/>
        <v>23.037500000000001</v>
      </c>
      <c r="F82" s="142">
        <f t="shared" si="18"/>
        <v>5.4974999999999996</v>
      </c>
      <c r="G82" s="142">
        <f t="shared" si="18"/>
        <v>21.622499999999999</v>
      </c>
      <c r="H82" s="142">
        <f t="shared" si="18"/>
        <v>5.9024999999999999</v>
      </c>
      <c r="I82" s="142">
        <f t="shared" si="18"/>
        <v>42.6875</v>
      </c>
      <c r="J82" s="142">
        <f t="shared" si="18"/>
        <v>9.33</v>
      </c>
      <c r="K82" s="142">
        <f t="shared" si="18"/>
        <v>46.494999999999997</v>
      </c>
      <c r="L82" s="142">
        <f t="shared" si="18"/>
        <v>7.1691666666666665</v>
      </c>
      <c r="M82" s="142">
        <f t="shared" si="18"/>
        <v>293.54250000000002</v>
      </c>
      <c r="N82" s="142">
        <f t="shared" si="18"/>
        <v>48.731666666666669</v>
      </c>
      <c r="O82" s="142">
        <f t="shared" si="18"/>
        <v>57.50416666666667</v>
      </c>
      <c r="P82" s="142">
        <f t="shared" si="18"/>
        <v>20.094999999999999</v>
      </c>
      <c r="Q82" s="142">
        <f t="shared" si="18"/>
        <v>8.9616666666666678</v>
      </c>
      <c r="R82" s="142">
        <f t="shared" si="18"/>
        <v>3.2141666666666664</v>
      </c>
      <c r="S82" s="142">
        <f t="shared" si="18"/>
        <v>167.6</v>
      </c>
      <c r="T82" s="142">
        <f t="shared" si="18"/>
        <v>22.431666666666665</v>
      </c>
      <c r="U82" s="142">
        <f t="shared" si="18"/>
        <v>12.656666666666668</v>
      </c>
      <c r="V82" s="142">
        <f t="shared" si="20"/>
        <v>5.3883333333333336</v>
      </c>
    </row>
    <row r="83" spans="1:26" x14ac:dyDescent="0.15">
      <c r="A83">
        <v>6</v>
      </c>
      <c r="B83" s="9" t="s">
        <v>373</v>
      </c>
      <c r="C83" s="142">
        <f t="shared" si="17"/>
        <v>153.19999999999999</v>
      </c>
      <c r="D83" s="142">
        <f t="shared" si="18"/>
        <v>46.084999999999994</v>
      </c>
      <c r="E83" s="142">
        <f t="shared" si="18"/>
        <v>23.215</v>
      </c>
      <c r="F83" s="142">
        <f t="shared" si="18"/>
        <v>5.5049999999999999</v>
      </c>
      <c r="G83" s="142">
        <f t="shared" si="18"/>
        <v>21.824999999999999</v>
      </c>
      <c r="H83" s="142">
        <f t="shared" si="18"/>
        <v>5.9249999999999998</v>
      </c>
      <c r="I83" s="142">
        <f t="shared" si="18"/>
        <v>42.905000000000001</v>
      </c>
      <c r="J83" s="142">
        <f t="shared" si="18"/>
        <v>9.36</v>
      </c>
      <c r="K83" s="142">
        <f t="shared" si="18"/>
        <v>46.68</v>
      </c>
      <c r="L83" s="142">
        <f t="shared" si="18"/>
        <v>7.1950000000000003</v>
      </c>
      <c r="M83" s="142">
        <f t="shared" si="18"/>
        <v>292.55500000000001</v>
      </c>
      <c r="N83" s="142">
        <f t="shared" si="18"/>
        <v>48.7</v>
      </c>
      <c r="O83" s="142">
        <f t="shared" si="18"/>
        <v>58.135000000000005</v>
      </c>
      <c r="P83" s="142">
        <f t="shared" si="18"/>
        <v>20.259999999999998</v>
      </c>
      <c r="Q83" s="142">
        <f t="shared" si="18"/>
        <v>8.9400000000000013</v>
      </c>
      <c r="R83" s="142">
        <f t="shared" si="18"/>
        <v>3.2050000000000001</v>
      </c>
      <c r="S83" s="142">
        <f t="shared" si="18"/>
        <v>168.14999999999998</v>
      </c>
      <c r="T83" s="142">
        <f t="shared" si="18"/>
        <v>22.47</v>
      </c>
      <c r="U83" s="142">
        <f t="shared" si="18"/>
        <v>12.760000000000002</v>
      </c>
      <c r="V83" s="142">
        <f t="shared" si="20"/>
        <v>5.3900000000000006</v>
      </c>
    </row>
    <row r="84" spans="1:26" x14ac:dyDescent="0.15">
      <c r="A84">
        <v>7</v>
      </c>
      <c r="B84" s="9" t="s">
        <v>374</v>
      </c>
      <c r="C84" s="142">
        <f t="shared" si="17"/>
        <v>153.43666666666667</v>
      </c>
      <c r="D84" s="142">
        <f t="shared" si="18"/>
        <v>46.352499999999999</v>
      </c>
      <c r="E84" s="142">
        <f t="shared" si="18"/>
        <v>23.392499999999998</v>
      </c>
      <c r="F84" s="142">
        <f t="shared" si="18"/>
        <v>5.5125000000000002</v>
      </c>
      <c r="G84" s="142">
        <f t="shared" si="18"/>
        <v>22.0275</v>
      </c>
      <c r="H84" s="142">
        <f t="shared" si="18"/>
        <v>5.9474999999999998</v>
      </c>
      <c r="I84" s="142">
        <f t="shared" si="18"/>
        <v>43.122500000000002</v>
      </c>
      <c r="J84" s="142">
        <f t="shared" si="18"/>
        <v>9.3899999999999988</v>
      </c>
      <c r="K84" s="142">
        <f t="shared" si="18"/>
        <v>46.865000000000002</v>
      </c>
      <c r="L84" s="142">
        <f t="shared" si="18"/>
        <v>7.2208333333333332</v>
      </c>
      <c r="M84" s="142">
        <f t="shared" si="18"/>
        <v>291.5675</v>
      </c>
      <c r="N84" s="142">
        <f t="shared" si="18"/>
        <v>48.668333333333329</v>
      </c>
      <c r="O84" s="142">
        <f t="shared" si="18"/>
        <v>58.765833333333333</v>
      </c>
      <c r="P84" s="142">
        <f t="shared" si="18"/>
        <v>20.425000000000001</v>
      </c>
      <c r="Q84" s="142">
        <f t="shared" si="18"/>
        <v>8.918333333333333</v>
      </c>
      <c r="R84" s="142">
        <f t="shared" si="18"/>
        <v>3.1958333333333333</v>
      </c>
      <c r="S84" s="142">
        <f t="shared" si="18"/>
        <v>168.7</v>
      </c>
      <c r="T84" s="142">
        <f t="shared" si="18"/>
        <v>22.508333333333333</v>
      </c>
      <c r="U84" s="142">
        <f t="shared" si="18"/>
        <v>12.863333333333333</v>
      </c>
      <c r="V84" s="142">
        <f t="shared" si="20"/>
        <v>5.3916666666666666</v>
      </c>
    </row>
    <row r="85" spans="1:26" x14ac:dyDescent="0.15">
      <c r="A85">
        <v>8</v>
      </c>
      <c r="B85" s="9" t="s">
        <v>375</v>
      </c>
      <c r="C85" s="142">
        <f t="shared" si="17"/>
        <v>153.67333333333335</v>
      </c>
      <c r="D85" s="142">
        <f t="shared" si="18"/>
        <v>46.62</v>
      </c>
      <c r="E85" s="142">
        <f t="shared" si="18"/>
        <v>23.57</v>
      </c>
      <c r="F85" s="142">
        <f t="shared" si="18"/>
        <v>5.52</v>
      </c>
      <c r="G85" s="142">
        <f t="shared" si="18"/>
        <v>22.23</v>
      </c>
      <c r="H85" s="142">
        <f t="shared" si="18"/>
        <v>5.97</v>
      </c>
      <c r="I85" s="142">
        <f t="shared" si="18"/>
        <v>43.34</v>
      </c>
      <c r="J85" s="142">
        <f t="shared" si="18"/>
        <v>9.42</v>
      </c>
      <c r="K85" s="142">
        <f t="shared" si="18"/>
        <v>47.05</v>
      </c>
      <c r="L85" s="142">
        <f t="shared" si="18"/>
        <v>7.2466666666666661</v>
      </c>
      <c r="M85" s="142">
        <f t="shared" si="18"/>
        <v>290.58</v>
      </c>
      <c r="N85" s="142">
        <f t="shared" si="18"/>
        <v>48.636666666666663</v>
      </c>
      <c r="O85" s="142">
        <f t="shared" si="18"/>
        <v>59.396666666666668</v>
      </c>
      <c r="P85" s="142">
        <f t="shared" si="18"/>
        <v>20.59</v>
      </c>
      <c r="Q85" s="142">
        <f t="shared" si="18"/>
        <v>8.8966666666666665</v>
      </c>
      <c r="R85" s="142">
        <f t="shared" si="18"/>
        <v>3.1866666666666665</v>
      </c>
      <c r="S85" s="142">
        <f t="shared" si="18"/>
        <v>169.25</v>
      </c>
      <c r="T85" s="142">
        <f t="shared" si="18"/>
        <v>22.546666666666667</v>
      </c>
      <c r="U85" s="142">
        <f t="shared" si="18"/>
        <v>12.966666666666667</v>
      </c>
      <c r="V85" s="142">
        <f t="shared" si="20"/>
        <v>5.3933333333333335</v>
      </c>
    </row>
    <row r="86" spans="1:26" x14ac:dyDescent="0.15">
      <c r="A86">
        <v>9</v>
      </c>
      <c r="B86" s="9" t="s">
        <v>376</v>
      </c>
      <c r="C86" s="142">
        <f t="shared" si="17"/>
        <v>153.91</v>
      </c>
      <c r="D86" s="142">
        <f t="shared" si="18"/>
        <v>46.887499999999996</v>
      </c>
      <c r="E86" s="142">
        <f t="shared" si="18"/>
        <v>23.747500000000002</v>
      </c>
      <c r="F86" s="142">
        <f t="shared" si="18"/>
        <v>5.5274999999999999</v>
      </c>
      <c r="G86" s="142">
        <f t="shared" si="18"/>
        <v>22.432499999999997</v>
      </c>
      <c r="H86" s="142">
        <f t="shared" si="18"/>
        <v>5.9924999999999997</v>
      </c>
      <c r="I86" s="142">
        <f t="shared" si="18"/>
        <v>43.557500000000005</v>
      </c>
      <c r="J86" s="142">
        <f t="shared" si="18"/>
        <v>9.4499999999999993</v>
      </c>
      <c r="K86" s="142">
        <f t="shared" si="18"/>
        <v>47.234999999999999</v>
      </c>
      <c r="L86" s="142">
        <f t="shared" si="18"/>
        <v>7.2725</v>
      </c>
      <c r="M86" s="142">
        <f t="shared" si="18"/>
        <v>289.59249999999997</v>
      </c>
      <c r="N86" s="142">
        <f t="shared" si="18"/>
        <v>48.604999999999997</v>
      </c>
      <c r="O86" s="142">
        <f t="shared" si="18"/>
        <v>60.027500000000003</v>
      </c>
      <c r="P86" s="142">
        <f t="shared" si="18"/>
        <v>20.754999999999999</v>
      </c>
      <c r="Q86" s="142">
        <f t="shared" si="18"/>
        <v>8.875</v>
      </c>
      <c r="R86" s="142">
        <f t="shared" si="18"/>
        <v>3.1774999999999998</v>
      </c>
      <c r="S86" s="142">
        <f t="shared" si="18"/>
        <v>169.79999999999998</v>
      </c>
      <c r="T86" s="142">
        <f t="shared" si="18"/>
        <v>22.585000000000001</v>
      </c>
      <c r="U86" s="142">
        <f t="shared" si="18"/>
        <v>13.07</v>
      </c>
      <c r="V86" s="142">
        <f t="shared" si="20"/>
        <v>5.3950000000000005</v>
      </c>
    </row>
    <row r="87" spans="1:26" x14ac:dyDescent="0.15">
      <c r="A87">
        <v>10</v>
      </c>
      <c r="B87" s="9" t="s">
        <v>377</v>
      </c>
      <c r="C87" s="142">
        <f t="shared" si="17"/>
        <v>154.14666666666668</v>
      </c>
      <c r="D87" s="142">
        <f t="shared" si="18"/>
        <v>47.155000000000001</v>
      </c>
      <c r="E87" s="142">
        <f t="shared" si="18"/>
        <v>23.925000000000001</v>
      </c>
      <c r="F87" s="142">
        <f t="shared" si="18"/>
        <v>5.5350000000000001</v>
      </c>
      <c r="G87" s="142">
        <f t="shared" si="18"/>
        <v>22.634999999999998</v>
      </c>
      <c r="H87" s="142">
        <f t="shared" si="18"/>
        <v>6.0149999999999997</v>
      </c>
      <c r="I87" s="142">
        <f t="shared" si="18"/>
        <v>43.774999999999999</v>
      </c>
      <c r="J87" s="142">
        <f t="shared" si="18"/>
        <v>9.4799999999999986</v>
      </c>
      <c r="K87" s="142">
        <f t="shared" si="18"/>
        <v>47.42</v>
      </c>
      <c r="L87" s="142">
        <f t="shared" si="18"/>
        <v>7.2983333333333329</v>
      </c>
      <c r="M87" s="142">
        <f t="shared" si="18"/>
        <v>288.60500000000002</v>
      </c>
      <c r="N87" s="142">
        <f t="shared" si="18"/>
        <v>48.573333333333331</v>
      </c>
      <c r="O87" s="142">
        <f t="shared" si="18"/>
        <v>60.658333333333331</v>
      </c>
      <c r="P87" s="142">
        <f t="shared" si="18"/>
        <v>20.92</v>
      </c>
      <c r="Q87" s="142">
        <f t="shared" si="18"/>
        <v>8.8533333333333335</v>
      </c>
      <c r="R87" s="142">
        <f t="shared" si="18"/>
        <v>3.168333333333333</v>
      </c>
      <c r="S87" s="142">
        <f t="shared" si="18"/>
        <v>170.35</v>
      </c>
      <c r="T87" s="142">
        <f t="shared" si="18"/>
        <v>22.623333333333331</v>
      </c>
      <c r="U87" s="142">
        <f t="shared" si="18"/>
        <v>13.173333333333334</v>
      </c>
      <c r="V87" s="142">
        <f t="shared" si="20"/>
        <v>5.3966666666666665</v>
      </c>
    </row>
    <row r="88" spans="1:26" x14ac:dyDescent="0.15">
      <c r="A88">
        <v>11</v>
      </c>
      <c r="B88" s="9" t="s">
        <v>378</v>
      </c>
      <c r="C88" s="142">
        <f t="shared" si="17"/>
        <v>154.38333333333333</v>
      </c>
      <c r="D88" s="142">
        <f t="shared" si="18"/>
        <v>47.422499999999999</v>
      </c>
      <c r="E88" s="142">
        <f t="shared" si="18"/>
        <v>24.102499999999999</v>
      </c>
      <c r="F88" s="142">
        <f t="shared" si="18"/>
        <v>5.5424999999999995</v>
      </c>
      <c r="G88" s="142">
        <f t="shared" si="18"/>
        <v>22.837499999999999</v>
      </c>
      <c r="H88" s="142">
        <f t="shared" si="18"/>
        <v>6.0374999999999996</v>
      </c>
      <c r="I88" s="142">
        <f t="shared" si="18"/>
        <v>43.9925</v>
      </c>
      <c r="J88" s="142">
        <f t="shared" si="18"/>
        <v>9.51</v>
      </c>
      <c r="K88" s="142">
        <f t="shared" si="18"/>
        <v>47.604999999999997</v>
      </c>
      <c r="L88" s="142">
        <f t="shared" si="18"/>
        <v>7.3241666666666667</v>
      </c>
      <c r="M88" s="142">
        <f t="shared" si="18"/>
        <v>287.61750000000001</v>
      </c>
      <c r="N88" s="142">
        <f t="shared" si="18"/>
        <v>48.541666666666664</v>
      </c>
      <c r="O88" s="142">
        <f t="shared" si="18"/>
        <v>61.289166666666667</v>
      </c>
      <c r="P88" s="142">
        <f t="shared" si="18"/>
        <v>21.085000000000001</v>
      </c>
      <c r="Q88" s="142">
        <f t="shared" si="18"/>
        <v>8.831666666666667</v>
      </c>
      <c r="R88" s="142">
        <f t="shared" si="18"/>
        <v>3.1591666666666667</v>
      </c>
      <c r="S88" s="142">
        <f t="shared" si="18"/>
        <v>170.89999999999998</v>
      </c>
      <c r="T88" s="142">
        <f t="shared" si="18"/>
        <v>22.661666666666665</v>
      </c>
      <c r="U88" s="142">
        <f t="shared" si="18"/>
        <v>13.276666666666667</v>
      </c>
      <c r="V88" s="142">
        <f t="shared" si="20"/>
        <v>5.3983333333333334</v>
      </c>
    </row>
    <row r="89" spans="1:26" x14ac:dyDescent="0.15">
      <c r="B89" s="9" t="s">
        <v>379</v>
      </c>
      <c r="C89" s="142">
        <f>熊本県基準値!B14</f>
        <v>154.62</v>
      </c>
      <c r="D89" s="142">
        <f>熊本県基準値!C14</f>
        <v>47.69</v>
      </c>
      <c r="E89" s="143">
        <f>熊本県基準値!D14</f>
        <v>24.28</v>
      </c>
      <c r="F89" s="143">
        <f>熊本県基準値!E14</f>
        <v>5.55</v>
      </c>
      <c r="G89" s="143">
        <f>熊本県基準値!F14</f>
        <v>23.04</v>
      </c>
      <c r="H89" s="143">
        <f>熊本県基準値!G14</f>
        <v>6.06</v>
      </c>
      <c r="I89" s="143">
        <f>熊本県基準値!H14</f>
        <v>44.21</v>
      </c>
      <c r="J89" s="143">
        <f>熊本県基準値!I14</f>
        <v>9.5399999999999991</v>
      </c>
      <c r="K89" s="143">
        <f>熊本県基準値!J14</f>
        <v>47.79</v>
      </c>
      <c r="L89" s="143">
        <f>熊本県基準値!K14</f>
        <v>7.35</v>
      </c>
      <c r="M89" s="142">
        <f>熊本県基準値!L14</f>
        <v>286.63</v>
      </c>
      <c r="N89" s="142">
        <f>熊本県基準値!M14</f>
        <v>48.51</v>
      </c>
      <c r="O89" s="143">
        <f>熊本県基準値!N14</f>
        <v>61.92</v>
      </c>
      <c r="P89" s="143">
        <f>熊本県基準値!O14</f>
        <v>21.25</v>
      </c>
      <c r="Q89" s="143">
        <f>熊本県基準値!P14</f>
        <v>8.81</v>
      </c>
      <c r="R89" s="143">
        <f>熊本県基準値!Q14</f>
        <v>3.15</v>
      </c>
      <c r="S89" s="144">
        <f>熊本県基準値!R14</f>
        <v>171.45</v>
      </c>
      <c r="T89" s="144">
        <f>熊本県基準値!S14</f>
        <v>22.7</v>
      </c>
      <c r="U89" s="142">
        <f>熊本県基準値!T14</f>
        <v>13.38</v>
      </c>
      <c r="V89" s="142">
        <f>熊本県基準値!U14</f>
        <v>5.4</v>
      </c>
      <c r="Z89" s="37"/>
    </row>
    <row r="90" spans="1:26" x14ac:dyDescent="0.15">
      <c r="A90">
        <v>1</v>
      </c>
      <c r="B90" s="9" t="s">
        <v>380</v>
      </c>
      <c r="C90" s="142">
        <f t="shared" ref="C90:C100" si="21">(C$101-C$89)/12*$A90+C$89</f>
        <v>154.75166666666667</v>
      </c>
      <c r="D90" s="142">
        <f t="shared" ref="D90:V100" si="22">(D$101-D$89)/12*$A90+D$89</f>
        <v>47.907499999999999</v>
      </c>
      <c r="E90" s="142">
        <f t="shared" si="22"/>
        <v>24.3825</v>
      </c>
      <c r="F90" s="142">
        <f t="shared" si="22"/>
        <v>5.5324999999999998</v>
      </c>
      <c r="G90" s="142">
        <f t="shared" si="22"/>
        <v>23.140833333333333</v>
      </c>
      <c r="H90" s="142">
        <f t="shared" si="22"/>
        <v>6.0649999999999995</v>
      </c>
      <c r="I90" s="142">
        <f t="shared" si="22"/>
        <v>44.399166666666666</v>
      </c>
      <c r="J90" s="142">
        <f t="shared" si="22"/>
        <v>9.5516666666666659</v>
      </c>
      <c r="K90" s="142">
        <f t="shared" si="22"/>
        <v>47.893333333333331</v>
      </c>
      <c r="L90" s="142">
        <f t="shared" si="22"/>
        <v>7.3391666666666664</v>
      </c>
      <c r="M90" s="142">
        <f t="shared" si="22"/>
        <v>286.60250000000002</v>
      </c>
      <c r="N90" s="142">
        <f t="shared" si="22"/>
        <v>48.634166666666665</v>
      </c>
      <c r="O90" s="142">
        <f t="shared" si="22"/>
        <v>62</v>
      </c>
      <c r="P90" s="142">
        <f t="shared" si="22"/>
        <v>21.227499999999999</v>
      </c>
      <c r="Q90" s="142">
        <f t="shared" si="22"/>
        <v>8.8033333333333346</v>
      </c>
      <c r="R90" s="142">
        <f t="shared" si="22"/>
        <v>3.1183333333333332</v>
      </c>
      <c r="S90" s="142">
        <f t="shared" si="22"/>
        <v>171.72416666666666</v>
      </c>
      <c r="T90" s="142">
        <f t="shared" si="22"/>
        <v>22.682499999999997</v>
      </c>
      <c r="U90" s="142">
        <f t="shared" si="22"/>
        <v>13.448333333333334</v>
      </c>
      <c r="V90" s="142">
        <f t="shared" si="22"/>
        <v>5.4</v>
      </c>
    </row>
    <row r="91" spans="1:26" x14ac:dyDescent="0.15">
      <c r="A91">
        <v>2</v>
      </c>
      <c r="B91" s="9" t="s">
        <v>381</v>
      </c>
      <c r="C91" s="142">
        <f t="shared" si="21"/>
        <v>154.88333333333333</v>
      </c>
      <c r="D91" s="142">
        <f t="shared" ref="D91:R91" si="23">(D$101-D$89)/12*$A91+D$89</f>
        <v>48.125</v>
      </c>
      <c r="E91" s="142">
        <f t="shared" si="23"/>
        <v>24.484999999999999</v>
      </c>
      <c r="F91" s="142">
        <f t="shared" si="23"/>
        <v>5.5149999999999997</v>
      </c>
      <c r="G91" s="142">
        <f t="shared" si="23"/>
        <v>23.241666666666667</v>
      </c>
      <c r="H91" s="142">
        <f t="shared" si="23"/>
        <v>6.0699999999999994</v>
      </c>
      <c r="I91" s="142">
        <f t="shared" si="23"/>
        <v>44.588333333333331</v>
      </c>
      <c r="J91" s="142">
        <f t="shared" si="23"/>
        <v>9.5633333333333326</v>
      </c>
      <c r="K91" s="142">
        <f t="shared" si="23"/>
        <v>47.99666666666667</v>
      </c>
      <c r="L91" s="142">
        <f t="shared" si="23"/>
        <v>7.3283333333333331</v>
      </c>
      <c r="M91" s="142">
        <f t="shared" si="23"/>
        <v>286.57499999999999</v>
      </c>
      <c r="N91" s="142">
        <f t="shared" si="23"/>
        <v>48.758333333333333</v>
      </c>
      <c r="O91" s="142">
        <f t="shared" si="23"/>
        <v>62.08</v>
      </c>
      <c r="P91" s="142">
        <f t="shared" si="23"/>
        <v>21.204999999999998</v>
      </c>
      <c r="Q91" s="142">
        <f t="shared" si="23"/>
        <v>8.7966666666666669</v>
      </c>
      <c r="R91" s="142">
        <f t="shared" si="23"/>
        <v>3.0866666666666664</v>
      </c>
      <c r="S91" s="142">
        <f t="shared" si="22"/>
        <v>171.99833333333333</v>
      </c>
      <c r="T91" s="142">
        <f t="shared" si="22"/>
        <v>22.664999999999999</v>
      </c>
      <c r="U91" s="142">
        <f t="shared" si="22"/>
        <v>13.516666666666667</v>
      </c>
      <c r="V91" s="142">
        <f t="shared" si="22"/>
        <v>5.4</v>
      </c>
    </row>
    <row r="92" spans="1:26" x14ac:dyDescent="0.15">
      <c r="A92">
        <v>3</v>
      </c>
      <c r="B92" s="9" t="s">
        <v>382</v>
      </c>
      <c r="C92" s="142">
        <f t="shared" si="21"/>
        <v>155.01499999999999</v>
      </c>
      <c r="D92" s="142">
        <f t="shared" si="22"/>
        <v>48.342500000000001</v>
      </c>
      <c r="E92" s="142">
        <f t="shared" si="22"/>
        <v>24.587500000000002</v>
      </c>
      <c r="F92" s="142">
        <f t="shared" si="22"/>
        <v>5.4974999999999996</v>
      </c>
      <c r="G92" s="142">
        <f t="shared" si="22"/>
        <v>23.342500000000001</v>
      </c>
      <c r="H92" s="142">
        <f t="shared" si="22"/>
        <v>6.0749999999999993</v>
      </c>
      <c r="I92" s="142">
        <f t="shared" si="22"/>
        <v>44.777500000000003</v>
      </c>
      <c r="J92" s="142">
        <f t="shared" si="22"/>
        <v>9.5749999999999993</v>
      </c>
      <c r="K92" s="142">
        <f t="shared" si="22"/>
        <v>48.1</v>
      </c>
      <c r="L92" s="142">
        <f t="shared" si="22"/>
        <v>7.3174999999999999</v>
      </c>
      <c r="M92" s="142">
        <f t="shared" si="22"/>
        <v>286.54750000000001</v>
      </c>
      <c r="N92" s="142">
        <f t="shared" si="22"/>
        <v>48.8825</v>
      </c>
      <c r="O92" s="142">
        <f t="shared" si="22"/>
        <v>62.160000000000004</v>
      </c>
      <c r="P92" s="142">
        <f t="shared" si="22"/>
        <v>21.182500000000001</v>
      </c>
      <c r="Q92" s="142">
        <f t="shared" si="22"/>
        <v>8.7900000000000009</v>
      </c>
      <c r="R92" s="142">
        <f t="shared" si="22"/>
        <v>3.0549999999999997</v>
      </c>
      <c r="S92" s="142">
        <f t="shared" si="22"/>
        <v>172.27249999999998</v>
      </c>
      <c r="T92" s="142">
        <f t="shared" si="22"/>
        <v>22.647500000000001</v>
      </c>
      <c r="U92" s="142">
        <f t="shared" si="22"/>
        <v>13.585000000000001</v>
      </c>
      <c r="V92" s="142">
        <f t="shared" si="22"/>
        <v>5.4</v>
      </c>
    </row>
    <row r="93" spans="1:26" x14ac:dyDescent="0.15">
      <c r="A93">
        <v>4</v>
      </c>
      <c r="B93" s="9" t="s">
        <v>383</v>
      </c>
      <c r="C93" s="142">
        <f t="shared" si="21"/>
        <v>155.14666666666668</v>
      </c>
      <c r="D93" s="142">
        <f t="shared" si="22"/>
        <v>48.559999999999995</v>
      </c>
      <c r="E93" s="142">
        <f t="shared" si="22"/>
        <v>24.69</v>
      </c>
      <c r="F93" s="142">
        <f t="shared" si="22"/>
        <v>5.4799999999999995</v>
      </c>
      <c r="G93" s="142">
        <f t="shared" si="22"/>
        <v>23.443333333333332</v>
      </c>
      <c r="H93" s="142">
        <f t="shared" si="22"/>
        <v>6.08</v>
      </c>
      <c r="I93" s="142">
        <f t="shared" si="22"/>
        <v>44.966666666666669</v>
      </c>
      <c r="J93" s="142">
        <f t="shared" si="22"/>
        <v>9.586666666666666</v>
      </c>
      <c r="K93" s="142">
        <f t="shared" si="22"/>
        <v>48.203333333333333</v>
      </c>
      <c r="L93" s="142">
        <f t="shared" si="22"/>
        <v>7.3066666666666666</v>
      </c>
      <c r="M93" s="142">
        <f t="shared" si="22"/>
        <v>286.52</v>
      </c>
      <c r="N93" s="142">
        <f t="shared" si="22"/>
        <v>49.006666666666668</v>
      </c>
      <c r="O93" s="142">
        <f t="shared" si="22"/>
        <v>62.24</v>
      </c>
      <c r="P93" s="142">
        <f t="shared" si="22"/>
        <v>21.16</v>
      </c>
      <c r="Q93" s="142">
        <f t="shared" si="22"/>
        <v>8.7833333333333332</v>
      </c>
      <c r="R93" s="142">
        <f t="shared" si="22"/>
        <v>3.0233333333333334</v>
      </c>
      <c r="S93" s="142">
        <f t="shared" si="22"/>
        <v>172.54666666666665</v>
      </c>
      <c r="T93" s="142">
        <f t="shared" si="22"/>
        <v>22.63</v>
      </c>
      <c r="U93" s="142">
        <f t="shared" si="22"/>
        <v>13.653333333333334</v>
      </c>
      <c r="V93" s="142">
        <f t="shared" si="22"/>
        <v>5.4</v>
      </c>
    </row>
    <row r="94" spans="1:26" x14ac:dyDescent="0.15">
      <c r="A94">
        <v>5</v>
      </c>
      <c r="B94" s="9" t="s">
        <v>384</v>
      </c>
      <c r="C94" s="142">
        <f t="shared" si="21"/>
        <v>155.27833333333334</v>
      </c>
      <c r="D94" s="142">
        <f t="shared" si="22"/>
        <v>48.777499999999996</v>
      </c>
      <c r="E94" s="142">
        <f t="shared" si="22"/>
        <v>24.7925</v>
      </c>
      <c r="F94" s="142">
        <f t="shared" si="22"/>
        <v>5.4624999999999995</v>
      </c>
      <c r="G94" s="142">
        <f t="shared" si="22"/>
        <v>23.544166666666666</v>
      </c>
      <c r="H94" s="142">
        <f t="shared" si="22"/>
        <v>6.085</v>
      </c>
      <c r="I94" s="142">
        <f t="shared" si="22"/>
        <v>45.155833333333334</v>
      </c>
      <c r="J94" s="142">
        <f t="shared" si="22"/>
        <v>9.5983333333333327</v>
      </c>
      <c r="K94" s="142">
        <f t="shared" si="22"/>
        <v>48.306666666666665</v>
      </c>
      <c r="L94" s="142">
        <f t="shared" si="22"/>
        <v>7.2958333333333334</v>
      </c>
      <c r="M94" s="142">
        <f t="shared" si="22"/>
        <v>286.49250000000001</v>
      </c>
      <c r="N94" s="142">
        <f t="shared" si="22"/>
        <v>49.130833333333335</v>
      </c>
      <c r="O94" s="142">
        <f t="shared" si="22"/>
        <v>62.32</v>
      </c>
      <c r="P94" s="142">
        <f t="shared" si="22"/>
        <v>21.137499999999999</v>
      </c>
      <c r="Q94" s="142">
        <f t="shared" si="22"/>
        <v>8.7766666666666673</v>
      </c>
      <c r="R94" s="142">
        <f t="shared" si="22"/>
        <v>2.9916666666666667</v>
      </c>
      <c r="S94" s="142">
        <f t="shared" si="22"/>
        <v>172.82083333333333</v>
      </c>
      <c r="T94" s="142">
        <f t="shared" si="22"/>
        <v>22.612499999999997</v>
      </c>
      <c r="U94" s="142">
        <f t="shared" si="22"/>
        <v>13.721666666666668</v>
      </c>
      <c r="V94" s="142">
        <f t="shared" si="22"/>
        <v>5.4</v>
      </c>
    </row>
    <row r="95" spans="1:26" x14ac:dyDescent="0.15">
      <c r="A95">
        <v>6</v>
      </c>
      <c r="B95" s="9" t="s">
        <v>385</v>
      </c>
      <c r="C95" s="142">
        <f t="shared" si="21"/>
        <v>155.41</v>
      </c>
      <c r="D95" s="142">
        <f t="shared" si="22"/>
        <v>48.994999999999997</v>
      </c>
      <c r="E95" s="142">
        <f t="shared" si="22"/>
        <v>24.895000000000003</v>
      </c>
      <c r="F95" s="142">
        <f t="shared" si="22"/>
        <v>5.4450000000000003</v>
      </c>
      <c r="G95" s="142">
        <f t="shared" si="22"/>
        <v>23.645</v>
      </c>
      <c r="H95" s="142">
        <f t="shared" si="22"/>
        <v>6.09</v>
      </c>
      <c r="I95" s="142">
        <f t="shared" si="22"/>
        <v>45.344999999999999</v>
      </c>
      <c r="J95" s="142">
        <f t="shared" si="22"/>
        <v>9.61</v>
      </c>
      <c r="K95" s="142">
        <f t="shared" si="22"/>
        <v>48.41</v>
      </c>
      <c r="L95" s="142">
        <f t="shared" si="22"/>
        <v>7.2850000000000001</v>
      </c>
      <c r="M95" s="142">
        <f t="shared" si="22"/>
        <v>286.46500000000003</v>
      </c>
      <c r="N95" s="142">
        <f t="shared" si="22"/>
        <v>49.254999999999995</v>
      </c>
      <c r="O95" s="142">
        <f t="shared" si="22"/>
        <v>62.400000000000006</v>
      </c>
      <c r="P95" s="142">
        <f t="shared" si="22"/>
        <v>21.115000000000002</v>
      </c>
      <c r="Q95" s="142">
        <f t="shared" si="22"/>
        <v>8.77</v>
      </c>
      <c r="R95" s="142">
        <f t="shared" si="22"/>
        <v>2.96</v>
      </c>
      <c r="S95" s="142">
        <f t="shared" si="22"/>
        <v>173.095</v>
      </c>
      <c r="T95" s="142">
        <f t="shared" si="22"/>
        <v>22.594999999999999</v>
      </c>
      <c r="U95" s="142">
        <f t="shared" si="22"/>
        <v>13.79</v>
      </c>
      <c r="V95" s="142">
        <f t="shared" si="22"/>
        <v>5.4</v>
      </c>
    </row>
    <row r="96" spans="1:26" x14ac:dyDescent="0.15">
      <c r="A96">
        <v>7</v>
      </c>
      <c r="B96" s="9" t="s">
        <v>386</v>
      </c>
      <c r="C96" s="142">
        <f t="shared" si="21"/>
        <v>155.54166666666666</v>
      </c>
      <c r="D96" s="142">
        <f t="shared" si="22"/>
        <v>49.212499999999999</v>
      </c>
      <c r="E96" s="142">
        <f t="shared" si="22"/>
        <v>24.997500000000002</v>
      </c>
      <c r="F96" s="142">
        <f t="shared" si="22"/>
        <v>5.4275000000000002</v>
      </c>
      <c r="G96" s="142">
        <f t="shared" si="22"/>
        <v>23.745833333333334</v>
      </c>
      <c r="H96" s="142">
        <f t="shared" si="22"/>
        <v>6.0949999999999998</v>
      </c>
      <c r="I96" s="142">
        <f t="shared" si="22"/>
        <v>45.534166666666664</v>
      </c>
      <c r="J96" s="142">
        <f t="shared" si="22"/>
        <v>9.6216666666666661</v>
      </c>
      <c r="K96" s="142">
        <f t="shared" si="22"/>
        <v>48.513333333333335</v>
      </c>
      <c r="L96" s="142">
        <f t="shared" si="22"/>
        <v>7.274166666666666</v>
      </c>
      <c r="M96" s="142">
        <f t="shared" si="22"/>
        <v>286.4375</v>
      </c>
      <c r="N96" s="142">
        <f t="shared" si="22"/>
        <v>49.379166666666663</v>
      </c>
      <c r="O96" s="142">
        <f t="shared" si="22"/>
        <v>62.480000000000004</v>
      </c>
      <c r="P96" s="142">
        <f t="shared" si="22"/>
        <v>21.092500000000001</v>
      </c>
      <c r="Q96" s="142">
        <f t="shared" si="22"/>
        <v>8.7633333333333336</v>
      </c>
      <c r="R96" s="142">
        <f t="shared" si="22"/>
        <v>2.9283333333333332</v>
      </c>
      <c r="S96" s="142">
        <f t="shared" si="22"/>
        <v>173.36916666666667</v>
      </c>
      <c r="T96" s="142">
        <f t="shared" si="22"/>
        <v>22.577500000000001</v>
      </c>
      <c r="U96" s="142">
        <f t="shared" si="22"/>
        <v>13.858333333333333</v>
      </c>
      <c r="V96" s="142">
        <f t="shared" si="22"/>
        <v>5.4</v>
      </c>
    </row>
    <row r="97" spans="1:26" x14ac:dyDescent="0.15">
      <c r="A97">
        <v>8</v>
      </c>
      <c r="B97" s="9" t="s">
        <v>387</v>
      </c>
      <c r="C97" s="142">
        <f t="shared" si="21"/>
        <v>155.67333333333332</v>
      </c>
      <c r="D97" s="142">
        <f t="shared" si="22"/>
        <v>49.43</v>
      </c>
      <c r="E97" s="142">
        <f t="shared" si="22"/>
        <v>25.1</v>
      </c>
      <c r="F97" s="142">
        <f t="shared" si="22"/>
        <v>5.41</v>
      </c>
      <c r="G97" s="142">
        <f t="shared" si="22"/>
        <v>23.846666666666668</v>
      </c>
      <c r="H97" s="142">
        <f t="shared" si="22"/>
        <v>6.1</v>
      </c>
      <c r="I97" s="142">
        <f t="shared" si="22"/>
        <v>45.723333333333329</v>
      </c>
      <c r="J97" s="142">
        <f t="shared" si="22"/>
        <v>9.6333333333333329</v>
      </c>
      <c r="K97" s="142">
        <f t="shared" si="22"/>
        <v>48.616666666666667</v>
      </c>
      <c r="L97" s="142">
        <f t="shared" si="22"/>
        <v>7.2633333333333328</v>
      </c>
      <c r="M97" s="142">
        <f t="shared" si="22"/>
        <v>286.41000000000003</v>
      </c>
      <c r="N97" s="142">
        <f t="shared" si="22"/>
        <v>49.50333333333333</v>
      </c>
      <c r="O97" s="142">
        <f t="shared" si="22"/>
        <v>62.56</v>
      </c>
      <c r="P97" s="142">
        <f t="shared" si="22"/>
        <v>21.07</v>
      </c>
      <c r="Q97" s="142">
        <f t="shared" si="22"/>
        <v>8.7566666666666677</v>
      </c>
      <c r="R97" s="142">
        <f t="shared" si="22"/>
        <v>2.8966666666666665</v>
      </c>
      <c r="S97" s="142">
        <f t="shared" si="22"/>
        <v>173.64333333333335</v>
      </c>
      <c r="T97" s="142">
        <f t="shared" si="22"/>
        <v>22.56</v>
      </c>
      <c r="U97" s="142">
        <f t="shared" si="22"/>
        <v>13.926666666666666</v>
      </c>
      <c r="V97" s="142">
        <f t="shared" si="22"/>
        <v>5.4</v>
      </c>
    </row>
    <row r="98" spans="1:26" x14ac:dyDescent="0.15">
      <c r="A98">
        <v>9</v>
      </c>
      <c r="B98" s="9" t="s">
        <v>388</v>
      </c>
      <c r="C98" s="142">
        <f t="shared" si="21"/>
        <v>155.80500000000001</v>
      </c>
      <c r="D98" s="142">
        <f t="shared" si="22"/>
        <v>49.647499999999994</v>
      </c>
      <c r="E98" s="142">
        <f t="shared" si="22"/>
        <v>25.202500000000001</v>
      </c>
      <c r="F98" s="142">
        <f t="shared" si="22"/>
        <v>5.3925000000000001</v>
      </c>
      <c r="G98" s="142">
        <f t="shared" si="22"/>
        <v>23.947499999999998</v>
      </c>
      <c r="H98" s="142">
        <f t="shared" si="22"/>
        <v>6.1050000000000004</v>
      </c>
      <c r="I98" s="142">
        <f t="shared" si="22"/>
        <v>45.912499999999994</v>
      </c>
      <c r="J98" s="142">
        <f t="shared" si="22"/>
        <v>9.6449999999999996</v>
      </c>
      <c r="K98" s="142">
        <f t="shared" si="22"/>
        <v>48.72</v>
      </c>
      <c r="L98" s="142">
        <f t="shared" si="22"/>
        <v>7.2524999999999995</v>
      </c>
      <c r="M98" s="142">
        <f t="shared" si="22"/>
        <v>286.38249999999999</v>
      </c>
      <c r="N98" s="142">
        <f t="shared" si="22"/>
        <v>49.627499999999998</v>
      </c>
      <c r="O98" s="142">
        <f t="shared" si="22"/>
        <v>62.64</v>
      </c>
      <c r="P98" s="142">
        <f t="shared" si="22"/>
        <v>21.047499999999999</v>
      </c>
      <c r="Q98" s="142">
        <f t="shared" si="22"/>
        <v>8.75</v>
      </c>
      <c r="R98" s="142">
        <f t="shared" si="22"/>
        <v>2.8650000000000002</v>
      </c>
      <c r="S98" s="142">
        <f t="shared" si="22"/>
        <v>173.91750000000002</v>
      </c>
      <c r="T98" s="142">
        <f t="shared" si="22"/>
        <v>22.542499999999997</v>
      </c>
      <c r="U98" s="142">
        <f t="shared" si="22"/>
        <v>13.994999999999999</v>
      </c>
      <c r="V98" s="142">
        <f t="shared" si="22"/>
        <v>5.4</v>
      </c>
    </row>
    <row r="99" spans="1:26" x14ac:dyDescent="0.15">
      <c r="A99">
        <v>10</v>
      </c>
      <c r="B99" s="9" t="s">
        <v>389</v>
      </c>
      <c r="C99" s="142">
        <f t="shared" si="21"/>
        <v>155.93666666666667</v>
      </c>
      <c r="D99" s="142">
        <f t="shared" si="22"/>
        <v>49.864999999999995</v>
      </c>
      <c r="E99" s="142">
        <f t="shared" si="22"/>
        <v>25.305</v>
      </c>
      <c r="F99" s="142">
        <f t="shared" si="22"/>
        <v>5.375</v>
      </c>
      <c r="G99" s="142">
        <f t="shared" si="22"/>
        <v>24.048333333333332</v>
      </c>
      <c r="H99" s="142">
        <f t="shared" si="22"/>
        <v>6.11</v>
      </c>
      <c r="I99" s="142">
        <f t="shared" si="22"/>
        <v>46.101666666666667</v>
      </c>
      <c r="J99" s="142">
        <f t="shared" si="22"/>
        <v>9.6566666666666663</v>
      </c>
      <c r="K99" s="142">
        <f t="shared" si="22"/>
        <v>48.823333333333338</v>
      </c>
      <c r="L99" s="142">
        <f t="shared" si="22"/>
        <v>7.2416666666666663</v>
      </c>
      <c r="M99" s="142">
        <f t="shared" si="22"/>
        <v>286.35500000000002</v>
      </c>
      <c r="N99" s="142">
        <f t="shared" si="22"/>
        <v>49.751666666666665</v>
      </c>
      <c r="O99" s="142">
        <f t="shared" si="22"/>
        <v>62.72</v>
      </c>
      <c r="P99" s="142">
        <f t="shared" si="22"/>
        <v>21.024999999999999</v>
      </c>
      <c r="Q99" s="142">
        <f t="shared" si="22"/>
        <v>8.7433333333333341</v>
      </c>
      <c r="R99" s="142">
        <f t="shared" si="22"/>
        <v>2.8333333333333335</v>
      </c>
      <c r="S99" s="142">
        <f t="shared" si="22"/>
        <v>174.19166666666666</v>
      </c>
      <c r="T99" s="142">
        <f t="shared" si="22"/>
        <v>22.524999999999999</v>
      </c>
      <c r="U99" s="142">
        <f t="shared" si="22"/>
        <v>14.063333333333333</v>
      </c>
      <c r="V99" s="142">
        <f t="shared" si="22"/>
        <v>5.4</v>
      </c>
    </row>
    <row r="100" spans="1:26" x14ac:dyDescent="0.15">
      <c r="A100">
        <v>11</v>
      </c>
      <c r="B100" s="9" t="s">
        <v>390</v>
      </c>
      <c r="C100" s="142">
        <f t="shared" si="21"/>
        <v>156.06833333333333</v>
      </c>
      <c r="D100" s="142">
        <f t="shared" si="22"/>
        <v>50.082499999999996</v>
      </c>
      <c r="E100" s="142">
        <f t="shared" si="22"/>
        <v>25.407500000000002</v>
      </c>
      <c r="F100" s="142">
        <f t="shared" si="22"/>
        <v>5.3574999999999999</v>
      </c>
      <c r="G100" s="142">
        <f t="shared" si="22"/>
        <v>24.149166666666666</v>
      </c>
      <c r="H100" s="142">
        <f t="shared" si="22"/>
        <v>6.1150000000000002</v>
      </c>
      <c r="I100" s="142">
        <f t="shared" si="22"/>
        <v>46.290833333333332</v>
      </c>
      <c r="J100" s="142">
        <f t="shared" si="22"/>
        <v>9.668333333333333</v>
      </c>
      <c r="K100" s="142">
        <f t="shared" si="22"/>
        <v>48.926666666666669</v>
      </c>
      <c r="L100" s="142">
        <f t="shared" si="22"/>
        <v>7.230833333333333</v>
      </c>
      <c r="M100" s="142">
        <f t="shared" si="22"/>
        <v>286.32749999999999</v>
      </c>
      <c r="N100" s="142">
        <f t="shared" si="22"/>
        <v>49.875833333333333</v>
      </c>
      <c r="O100" s="142">
        <f t="shared" si="22"/>
        <v>62.800000000000004</v>
      </c>
      <c r="P100" s="142">
        <f t="shared" si="22"/>
        <v>21.002500000000001</v>
      </c>
      <c r="Q100" s="142">
        <f t="shared" si="22"/>
        <v>8.7366666666666664</v>
      </c>
      <c r="R100" s="142">
        <f t="shared" si="22"/>
        <v>2.8016666666666667</v>
      </c>
      <c r="S100" s="142">
        <f t="shared" si="22"/>
        <v>174.46583333333334</v>
      </c>
      <c r="T100" s="142">
        <f t="shared" si="22"/>
        <v>22.5075</v>
      </c>
      <c r="U100" s="142">
        <f t="shared" si="22"/>
        <v>14.131666666666666</v>
      </c>
      <c r="V100" s="142">
        <f t="shared" si="22"/>
        <v>5.4</v>
      </c>
    </row>
    <row r="101" spans="1:26" x14ac:dyDescent="0.15">
      <c r="B101" s="9" t="s">
        <v>391</v>
      </c>
      <c r="C101" s="142">
        <f>熊本県基準値!B15</f>
        <v>156.19999999999999</v>
      </c>
      <c r="D101" s="142">
        <f>熊本県基準値!C15</f>
        <v>50.3</v>
      </c>
      <c r="E101" s="143">
        <f>熊本県基準値!D15</f>
        <v>25.51</v>
      </c>
      <c r="F101" s="143">
        <f>熊本県基準値!E15</f>
        <v>5.34</v>
      </c>
      <c r="G101" s="143">
        <f>熊本県基準値!F15</f>
        <v>24.25</v>
      </c>
      <c r="H101" s="143">
        <f>熊本県基準値!G15</f>
        <v>6.12</v>
      </c>
      <c r="I101" s="143">
        <f>熊本県基準値!H15</f>
        <v>46.48</v>
      </c>
      <c r="J101" s="143">
        <f>熊本県基準値!I15</f>
        <v>9.68</v>
      </c>
      <c r="K101" s="143">
        <f>熊本県基準値!J15</f>
        <v>49.03</v>
      </c>
      <c r="L101" s="143">
        <f>熊本県基準値!K15</f>
        <v>7.22</v>
      </c>
      <c r="M101" s="142">
        <f>熊本県基準値!L15</f>
        <v>286.3</v>
      </c>
      <c r="N101" s="142">
        <f>熊本県基準値!M15</f>
        <v>50</v>
      </c>
      <c r="O101" s="143">
        <f>熊本県基準値!N15</f>
        <v>62.88</v>
      </c>
      <c r="P101" s="143">
        <f>熊本県基準値!O15</f>
        <v>20.98</v>
      </c>
      <c r="Q101" s="143">
        <f>熊本県基準値!P15</f>
        <v>8.73</v>
      </c>
      <c r="R101" s="143">
        <f>熊本県基準値!Q15</f>
        <v>2.77</v>
      </c>
      <c r="S101" s="144">
        <f>熊本県基準値!R15</f>
        <v>174.74</v>
      </c>
      <c r="T101" s="144">
        <f>熊本県基準値!S15</f>
        <v>22.49</v>
      </c>
      <c r="U101" s="142">
        <f>熊本県基準値!T15</f>
        <v>14.2</v>
      </c>
      <c r="V101" s="142">
        <f>熊本県基準値!U15</f>
        <v>5.4</v>
      </c>
      <c r="Z101" s="37"/>
    </row>
    <row r="102" spans="1:26" x14ac:dyDescent="0.15">
      <c r="A102">
        <v>1</v>
      </c>
      <c r="B102" s="9" t="s">
        <v>392</v>
      </c>
      <c r="C102" s="142">
        <f t="shared" ref="C102:C112" si="24">(C$113-C$101)/12*$A102+C$101</f>
        <v>156.25666666666666</v>
      </c>
      <c r="D102" s="142">
        <f t="shared" ref="D102:U112" si="25">(D$113-D$101)/12*$A102+D$101</f>
        <v>50.43</v>
      </c>
      <c r="E102" s="142">
        <f t="shared" si="25"/>
        <v>25.489166666666669</v>
      </c>
      <c r="F102" s="142">
        <f t="shared" si="25"/>
        <v>5.2591666666666663</v>
      </c>
      <c r="G102" s="142">
        <f t="shared" si="25"/>
        <v>24.193333333333335</v>
      </c>
      <c r="H102" s="142">
        <f t="shared" si="25"/>
        <v>6.0441666666666665</v>
      </c>
      <c r="I102" s="142">
        <f t="shared" si="25"/>
        <v>46.510833333333331</v>
      </c>
      <c r="J102" s="142">
        <f t="shared" si="25"/>
        <v>9.6558333333333337</v>
      </c>
      <c r="K102" s="142">
        <f t="shared" si="25"/>
        <v>48.923333333333332</v>
      </c>
      <c r="L102" s="142">
        <f t="shared" si="25"/>
        <v>7.0474999999999994</v>
      </c>
      <c r="M102" s="142">
        <f t="shared" si="25"/>
        <v>287.64250000000004</v>
      </c>
      <c r="N102" s="142">
        <f t="shared" si="25"/>
        <v>49.212499999999999</v>
      </c>
      <c r="O102" s="142">
        <f t="shared" si="25"/>
        <v>62.152500000000003</v>
      </c>
      <c r="P102" s="142">
        <f t="shared" si="25"/>
        <v>20.637499999999999</v>
      </c>
      <c r="Q102" s="142">
        <f t="shared" si="25"/>
        <v>8.7491666666666674</v>
      </c>
      <c r="R102" s="142">
        <f t="shared" si="25"/>
        <v>2.6025</v>
      </c>
      <c r="S102" s="142">
        <f t="shared" si="25"/>
        <v>174.315</v>
      </c>
      <c r="T102" s="142">
        <f t="shared" si="25"/>
        <v>22.3325</v>
      </c>
      <c r="U102" s="142">
        <f t="shared" si="25"/>
        <v>14.1625</v>
      </c>
      <c r="V102" s="142">
        <f>(V$113-V$101)/12*$A102+V$101</f>
        <v>5.2791666666666668</v>
      </c>
    </row>
    <row r="103" spans="1:26" x14ac:dyDescent="0.15">
      <c r="A103">
        <v>2</v>
      </c>
      <c r="B103" s="9" t="s">
        <v>393</v>
      </c>
      <c r="C103" s="142">
        <f t="shared" si="24"/>
        <v>156.31333333333333</v>
      </c>
      <c r="D103" s="142">
        <f t="shared" ref="D103:R103" si="26">(D$113-D$101)/12*$A103+D$101</f>
        <v>50.559999999999995</v>
      </c>
      <c r="E103" s="142">
        <f t="shared" si="26"/>
        <v>25.468333333333334</v>
      </c>
      <c r="F103" s="142">
        <f t="shared" si="26"/>
        <v>5.1783333333333328</v>
      </c>
      <c r="G103" s="142">
        <f t="shared" si="26"/>
        <v>24.136666666666667</v>
      </c>
      <c r="H103" s="142">
        <f t="shared" si="26"/>
        <v>5.9683333333333337</v>
      </c>
      <c r="I103" s="142">
        <f t="shared" si="26"/>
        <v>46.541666666666664</v>
      </c>
      <c r="J103" s="142">
        <f t="shared" si="26"/>
        <v>9.6316666666666659</v>
      </c>
      <c r="K103" s="142">
        <f t="shared" si="26"/>
        <v>48.81666666666667</v>
      </c>
      <c r="L103" s="142">
        <f t="shared" si="26"/>
        <v>6.875</v>
      </c>
      <c r="M103" s="142">
        <f t="shared" si="26"/>
        <v>288.98500000000001</v>
      </c>
      <c r="N103" s="142">
        <f t="shared" si="26"/>
        <v>48.424999999999997</v>
      </c>
      <c r="O103" s="142">
        <f t="shared" si="26"/>
        <v>61.425000000000004</v>
      </c>
      <c r="P103" s="142">
        <f t="shared" si="26"/>
        <v>20.295000000000002</v>
      </c>
      <c r="Q103" s="142">
        <f t="shared" si="26"/>
        <v>8.7683333333333344</v>
      </c>
      <c r="R103" s="142">
        <f t="shared" si="26"/>
        <v>2.4350000000000001</v>
      </c>
      <c r="S103" s="142">
        <f t="shared" si="25"/>
        <v>173.89000000000001</v>
      </c>
      <c r="T103" s="142">
        <f t="shared" si="25"/>
        <v>22.174999999999997</v>
      </c>
      <c r="U103" s="142">
        <f t="shared" si="25"/>
        <v>14.125</v>
      </c>
      <c r="V103" s="142">
        <f t="shared" ref="V103:V112" si="27">(V$113-V$101)/12*$A103+V$101</f>
        <v>5.1583333333333332</v>
      </c>
    </row>
    <row r="104" spans="1:26" x14ac:dyDescent="0.15">
      <c r="A104">
        <v>3</v>
      </c>
      <c r="B104" s="9" t="s">
        <v>394</v>
      </c>
      <c r="C104" s="142">
        <f t="shared" si="24"/>
        <v>156.37</v>
      </c>
      <c r="D104" s="142">
        <f t="shared" si="25"/>
        <v>50.69</v>
      </c>
      <c r="E104" s="142">
        <f t="shared" si="25"/>
        <v>25.447500000000002</v>
      </c>
      <c r="F104" s="142">
        <f t="shared" si="25"/>
        <v>5.0975000000000001</v>
      </c>
      <c r="G104" s="142">
        <f t="shared" si="25"/>
        <v>24.08</v>
      </c>
      <c r="H104" s="142">
        <f t="shared" si="25"/>
        <v>5.8925000000000001</v>
      </c>
      <c r="I104" s="142">
        <f t="shared" si="25"/>
        <v>46.572499999999998</v>
      </c>
      <c r="J104" s="142">
        <f t="shared" si="25"/>
        <v>9.6074999999999999</v>
      </c>
      <c r="K104" s="142">
        <f t="shared" si="25"/>
        <v>48.71</v>
      </c>
      <c r="L104" s="142">
        <f t="shared" si="25"/>
        <v>6.7024999999999997</v>
      </c>
      <c r="M104" s="142">
        <f t="shared" si="25"/>
        <v>290.32749999999999</v>
      </c>
      <c r="N104" s="142">
        <f t="shared" si="25"/>
        <v>47.637500000000003</v>
      </c>
      <c r="O104" s="142">
        <f t="shared" si="25"/>
        <v>60.697500000000005</v>
      </c>
      <c r="P104" s="142">
        <f t="shared" si="25"/>
        <v>19.952500000000001</v>
      </c>
      <c r="Q104" s="142">
        <f t="shared" si="25"/>
        <v>8.7875000000000014</v>
      </c>
      <c r="R104" s="142">
        <f t="shared" si="25"/>
        <v>2.2675000000000001</v>
      </c>
      <c r="S104" s="142">
        <f t="shared" si="25"/>
        <v>173.465</v>
      </c>
      <c r="T104" s="142">
        <f t="shared" si="25"/>
        <v>22.017499999999998</v>
      </c>
      <c r="U104" s="142">
        <f t="shared" si="25"/>
        <v>14.087499999999999</v>
      </c>
      <c r="V104" s="142">
        <f t="shared" si="27"/>
        <v>5.0375000000000005</v>
      </c>
    </row>
    <row r="105" spans="1:26" x14ac:dyDescent="0.15">
      <c r="A105">
        <v>4</v>
      </c>
      <c r="B105" s="9" t="s">
        <v>395</v>
      </c>
      <c r="C105" s="142">
        <f t="shared" si="24"/>
        <v>156.42666666666665</v>
      </c>
      <c r="D105" s="142">
        <f t="shared" si="25"/>
        <v>50.82</v>
      </c>
      <c r="E105" s="142">
        <f t="shared" si="25"/>
        <v>25.426666666666669</v>
      </c>
      <c r="F105" s="142">
        <f t="shared" si="25"/>
        <v>5.0166666666666666</v>
      </c>
      <c r="G105" s="142">
        <f t="shared" si="25"/>
        <v>24.023333333333333</v>
      </c>
      <c r="H105" s="142">
        <f t="shared" si="25"/>
        <v>5.8166666666666664</v>
      </c>
      <c r="I105" s="142">
        <f t="shared" si="25"/>
        <v>46.603333333333332</v>
      </c>
      <c r="J105" s="142">
        <f t="shared" si="25"/>
        <v>9.5833333333333339</v>
      </c>
      <c r="K105" s="142">
        <f t="shared" si="25"/>
        <v>48.603333333333332</v>
      </c>
      <c r="L105" s="142">
        <f t="shared" si="25"/>
        <v>6.53</v>
      </c>
      <c r="M105" s="142">
        <f t="shared" si="25"/>
        <v>291.67</v>
      </c>
      <c r="N105" s="142">
        <f t="shared" si="25"/>
        <v>46.85</v>
      </c>
      <c r="O105" s="142">
        <f t="shared" si="25"/>
        <v>59.97</v>
      </c>
      <c r="P105" s="142">
        <f t="shared" si="25"/>
        <v>19.61</v>
      </c>
      <c r="Q105" s="142">
        <f t="shared" si="25"/>
        <v>8.8066666666666666</v>
      </c>
      <c r="R105" s="142">
        <f t="shared" si="25"/>
        <v>2.1</v>
      </c>
      <c r="S105" s="142">
        <f t="shared" si="25"/>
        <v>173.04</v>
      </c>
      <c r="T105" s="142">
        <f t="shared" si="25"/>
        <v>21.86</v>
      </c>
      <c r="U105" s="142">
        <f t="shared" si="25"/>
        <v>14.049999999999999</v>
      </c>
      <c r="V105" s="142">
        <f t="shared" si="27"/>
        <v>4.916666666666667</v>
      </c>
    </row>
    <row r="106" spans="1:26" x14ac:dyDescent="0.15">
      <c r="A106">
        <v>5</v>
      </c>
      <c r="B106" s="9" t="s">
        <v>396</v>
      </c>
      <c r="C106" s="142">
        <f t="shared" si="24"/>
        <v>156.48333333333332</v>
      </c>
      <c r="D106" s="142">
        <f t="shared" si="25"/>
        <v>50.949999999999996</v>
      </c>
      <c r="E106" s="142">
        <f t="shared" si="25"/>
        <v>25.405833333333334</v>
      </c>
      <c r="F106" s="142">
        <f t="shared" si="25"/>
        <v>4.9358333333333331</v>
      </c>
      <c r="G106" s="142">
        <f t="shared" si="25"/>
        <v>23.966666666666669</v>
      </c>
      <c r="H106" s="142">
        <f t="shared" si="25"/>
        <v>5.7408333333333337</v>
      </c>
      <c r="I106" s="142">
        <f t="shared" si="25"/>
        <v>46.634166666666665</v>
      </c>
      <c r="J106" s="142">
        <f t="shared" si="25"/>
        <v>9.5591666666666661</v>
      </c>
      <c r="K106" s="142">
        <f t="shared" si="25"/>
        <v>48.49666666666667</v>
      </c>
      <c r="L106" s="142">
        <f t="shared" si="25"/>
        <v>6.3574999999999999</v>
      </c>
      <c r="M106" s="142">
        <f t="shared" si="25"/>
        <v>293.01250000000005</v>
      </c>
      <c r="N106" s="142">
        <f t="shared" si="25"/>
        <v>46.0625</v>
      </c>
      <c r="O106" s="142">
        <f t="shared" si="25"/>
        <v>59.2425</v>
      </c>
      <c r="P106" s="142">
        <f t="shared" si="25"/>
        <v>19.267500000000002</v>
      </c>
      <c r="Q106" s="142">
        <f t="shared" si="25"/>
        <v>8.8258333333333336</v>
      </c>
      <c r="R106" s="142">
        <f t="shared" si="25"/>
        <v>1.9325000000000001</v>
      </c>
      <c r="S106" s="142">
        <f t="shared" si="25"/>
        <v>172.61500000000001</v>
      </c>
      <c r="T106" s="142">
        <f t="shared" si="25"/>
        <v>21.702500000000001</v>
      </c>
      <c r="U106" s="142">
        <f t="shared" si="25"/>
        <v>14.012499999999999</v>
      </c>
      <c r="V106" s="142">
        <f t="shared" si="27"/>
        <v>4.7958333333333334</v>
      </c>
    </row>
    <row r="107" spans="1:26" x14ac:dyDescent="0.15">
      <c r="A107">
        <v>6</v>
      </c>
      <c r="B107" s="9" t="s">
        <v>397</v>
      </c>
      <c r="C107" s="142">
        <f t="shared" si="24"/>
        <v>156.54</v>
      </c>
      <c r="D107" s="142">
        <f t="shared" si="25"/>
        <v>51.08</v>
      </c>
      <c r="E107" s="142">
        <f t="shared" si="25"/>
        <v>25.385000000000002</v>
      </c>
      <c r="F107" s="142">
        <f t="shared" si="25"/>
        <v>4.8550000000000004</v>
      </c>
      <c r="G107" s="142">
        <f t="shared" si="25"/>
        <v>23.91</v>
      </c>
      <c r="H107" s="142">
        <f t="shared" si="25"/>
        <v>5.665</v>
      </c>
      <c r="I107" s="142">
        <f t="shared" si="25"/>
        <v>46.664999999999999</v>
      </c>
      <c r="J107" s="142">
        <f t="shared" si="25"/>
        <v>9.5350000000000001</v>
      </c>
      <c r="K107" s="142">
        <f t="shared" si="25"/>
        <v>48.39</v>
      </c>
      <c r="L107" s="142">
        <f t="shared" si="25"/>
        <v>6.1850000000000005</v>
      </c>
      <c r="M107" s="142">
        <f t="shared" si="25"/>
        <v>294.35500000000002</v>
      </c>
      <c r="N107" s="142">
        <f t="shared" si="25"/>
        <v>45.274999999999999</v>
      </c>
      <c r="O107" s="142">
        <f t="shared" si="25"/>
        <v>58.515000000000001</v>
      </c>
      <c r="P107" s="142">
        <f t="shared" si="25"/>
        <v>18.925000000000001</v>
      </c>
      <c r="Q107" s="142">
        <f t="shared" si="25"/>
        <v>8.8450000000000006</v>
      </c>
      <c r="R107" s="142">
        <f t="shared" si="25"/>
        <v>1.7650000000000001</v>
      </c>
      <c r="S107" s="142">
        <f t="shared" si="25"/>
        <v>172.19</v>
      </c>
      <c r="T107" s="142">
        <f t="shared" si="25"/>
        <v>21.545000000000002</v>
      </c>
      <c r="U107" s="142">
        <f t="shared" si="25"/>
        <v>13.975</v>
      </c>
      <c r="V107" s="142">
        <f t="shared" si="27"/>
        <v>4.6750000000000007</v>
      </c>
    </row>
    <row r="108" spans="1:26" x14ac:dyDescent="0.15">
      <c r="A108">
        <v>7</v>
      </c>
      <c r="B108" s="9" t="s">
        <v>398</v>
      </c>
      <c r="C108" s="142">
        <f t="shared" si="24"/>
        <v>156.59666666666666</v>
      </c>
      <c r="D108" s="142">
        <f t="shared" si="25"/>
        <v>51.21</v>
      </c>
      <c r="E108" s="142">
        <f t="shared" si="25"/>
        <v>25.364166666666669</v>
      </c>
      <c r="F108" s="142">
        <f t="shared" si="25"/>
        <v>4.7741666666666669</v>
      </c>
      <c r="G108" s="142">
        <f t="shared" si="25"/>
        <v>23.853333333333332</v>
      </c>
      <c r="H108" s="142">
        <f t="shared" si="25"/>
        <v>5.5891666666666664</v>
      </c>
      <c r="I108" s="142">
        <f t="shared" si="25"/>
        <v>46.695833333333333</v>
      </c>
      <c r="J108" s="142">
        <f t="shared" si="25"/>
        <v>9.5108333333333341</v>
      </c>
      <c r="K108" s="142">
        <f t="shared" si="25"/>
        <v>48.283333333333331</v>
      </c>
      <c r="L108" s="142">
        <f t="shared" si="25"/>
        <v>6.0125000000000002</v>
      </c>
      <c r="M108" s="142">
        <f t="shared" si="25"/>
        <v>295.69749999999999</v>
      </c>
      <c r="N108" s="142">
        <f t="shared" si="25"/>
        <v>44.487499999999997</v>
      </c>
      <c r="O108" s="142">
        <f t="shared" si="25"/>
        <v>57.787500000000001</v>
      </c>
      <c r="P108" s="142">
        <f t="shared" si="25"/>
        <v>18.5825</v>
      </c>
      <c r="Q108" s="142">
        <f t="shared" si="25"/>
        <v>8.8641666666666676</v>
      </c>
      <c r="R108" s="142">
        <f t="shared" si="25"/>
        <v>1.5975000000000001</v>
      </c>
      <c r="S108" s="142">
        <f t="shared" si="25"/>
        <v>171.76499999999999</v>
      </c>
      <c r="T108" s="142">
        <f t="shared" si="25"/>
        <v>21.387499999999999</v>
      </c>
      <c r="U108" s="142">
        <f t="shared" si="25"/>
        <v>13.9375</v>
      </c>
      <c r="V108" s="142">
        <f t="shared" si="27"/>
        <v>4.5541666666666671</v>
      </c>
    </row>
    <row r="109" spans="1:26" x14ac:dyDescent="0.15">
      <c r="A109">
        <v>8</v>
      </c>
      <c r="B109" s="9" t="s">
        <v>399</v>
      </c>
      <c r="C109" s="142">
        <f t="shared" si="24"/>
        <v>156.65333333333334</v>
      </c>
      <c r="D109" s="142">
        <f t="shared" si="25"/>
        <v>51.339999999999996</v>
      </c>
      <c r="E109" s="142">
        <f t="shared" si="25"/>
        <v>25.343333333333334</v>
      </c>
      <c r="F109" s="142">
        <f t="shared" si="25"/>
        <v>4.6933333333333334</v>
      </c>
      <c r="G109" s="142">
        <f t="shared" si="25"/>
        <v>23.796666666666667</v>
      </c>
      <c r="H109" s="142">
        <f t="shared" si="25"/>
        <v>5.5133333333333336</v>
      </c>
      <c r="I109" s="142">
        <f t="shared" si="25"/>
        <v>46.726666666666667</v>
      </c>
      <c r="J109" s="142">
        <f t="shared" si="25"/>
        <v>9.4866666666666664</v>
      </c>
      <c r="K109" s="142">
        <f t="shared" si="25"/>
        <v>48.176666666666669</v>
      </c>
      <c r="L109" s="142">
        <f t="shared" si="25"/>
        <v>5.84</v>
      </c>
      <c r="M109" s="142">
        <f t="shared" si="25"/>
        <v>297.04000000000002</v>
      </c>
      <c r="N109" s="142">
        <f t="shared" si="25"/>
        <v>43.699999999999996</v>
      </c>
      <c r="O109" s="142">
        <f t="shared" si="25"/>
        <v>57.06</v>
      </c>
      <c r="P109" s="142">
        <f t="shared" si="25"/>
        <v>18.240000000000002</v>
      </c>
      <c r="Q109" s="142">
        <f t="shared" si="25"/>
        <v>8.8833333333333346</v>
      </c>
      <c r="R109" s="142">
        <f t="shared" si="25"/>
        <v>1.4300000000000002</v>
      </c>
      <c r="S109" s="142">
        <f t="shared" si="25"/>
        <v>171.34</v>
      </c>
      <c r="T109" s="142">
        <f t="shared" si="25"/>
        <v>21.23</v>
      </c>
      <c r="U109" s="142">
        <f t="shared" si="25"/>
        <v>13.9</v>
      </c>
      <c r="V109" s="142">
        <f t="shared" si="27"/>
        <v>4.4333333333333336</v>
      </c>
    </row>
    <row r="110" spans="1:26" x14ac:dyDescent="0.15">
      <c r="A110">
        <v>9</v>
      </c>
      <c r="B110" s="9" t="s">
        <v>400</v>
      </c>
      <c r="C110" s="142">
        <f t="shared" si="24"/>
        <v>156.70999999999998</v>
      </c>
      <c r="D110" s="142">
        <f t="shared" si="25"/>
        <v>51.47</v>
      </c>
      <c r="E110" s="142">
        <f t="shared" si="25"/>
        <v>25.322500000000002</v>
      </c>
      <c r="F110" s="142">
        <f t="shared" si="25"/>
        <v>4.6124999999999998</v>
      </c>
      <c r="G110" s="142">
        <f t="shared" si="25"/>
        <v>23.740000000000002</v>
      </c>
      <c r="H110" s="142">
        <f t="shared" si="25"/>
        <v>5.4375</v>
      </c>
      <c r="I110" s="142">
        <f t="shared" si="25"/>
        <v>46.7575</v>
      </c>
      <c r="J110" s="142">
        <f t="shared" si="25"/>
        <v>9.4625000000000004</v>
      </c>
      <c r="K110" s="142">
        <f t="shared" si="25"/>
        <v>48.07</v>
      </c>
      <c r="L110" s="142">
        <f t="shared" si="25"/>
        <v>5.6675000000000004</v>
      </c>
      <c r="M110" s="142">
        <f t="shared" si="25"/>
        <v>298.38250000000005</v>
      </c>
      <c r="N110" s="142">
        <f t="shared" si="25"/>
        <v>42.912499999999994</v>
      </c>
      <c r="O110" s="142">
        <f t="shared" si="25"/>
        <v>56.332499999999996</v>
      </c>
      <c r="P110" s="142">
        <f t="shared" si="25"/>
        <v>17.897500000000001</v>
      </c>
      <c r="Q110" s="142">
        <f t="shared" si="25"/>
        <v>8.9024999999999999</v>
      </c>
      <c r="R110" s="142">
        <f t="shared" si="25"/>
        <v>1.2625000000000002</v>
      </c>
      <c r="S110" s="142">
        <f t="shared" si="25"/>
        <v>170.91499999999999</v>
      </c>
      <c r="T110" s="142">
        <f t="shared" si="25"/>
        <v>21.072500000000002</v>
      </c>
      <c r="U110" s="142">
        <f t="shared" si="25"/>
        <v>13.862500000000001</v>
      </c>
      <c r="V110" s="142">
        <f t="shared" si="27"/>
        <v>4.3125</v>
      </c>
    </row>
    <row r="111" spans="1:26" x14ac:dyDescent="0.15">
      <c r="A111">
        <v>10</v>
      </c>
      <c r="B111" s="9" t="s">
        <v>401</v>
      </c>
      <c r="C111" s="142">
        <f t="shared" si="24"/>
        <v>156.76666666666665</v>
      </c>
      <c r="D111" s="142">
        <f t="shared" si="25"/>
        <v>51.6</v>
      </c>
      <c r="E111" s="142">
        <f t="shared" si="25"/>
        <v>25.301666666666669</v>
      </c>
      <c r="F111" s="142">
        <f t="shared" si="25"/>
        <v>4.5316666666666663</v>
      </c>
      <c r="G111" s="142">
        <f t="shared" si="25"/>
        <v>23.683333333333334</v>
      </c>
      <c r="H111" s="142">
        <f t="shared" si="25"/>
        <v>5.3616666666666664</v>
      </c>
      <c r="I111" s="142">
        <f t="shared" si="25"/>
        <v>46.788333333333334</v>
      </c>
      <c r="J111" s="142">
        <f t="shared" si="25"/>
        <v>9.4383333333333344</v>
      </c>
      <c r="K111" s="142">
        <f t="shared" si="25"/>
        <v>47.963333333333331</v>
      </c>
      <c r="L111" s="142">
        <f t="shared" si="25"/>
        <v>5.4950000000000001</v>
      </c>
      <c r="M111" s="142">
        <f t="shared" si="25"/>
        <v>299.72500000000002</v>
      </c>
      <c r="N111" s="142">
        <f t="shared" si="25"/>
        <v>42.125</v>
      </c>
      <c r="O111" s="142">
        <f t="shared" si="25"/>
        <v>55.604999999999997</v>
      </c>
      <c r="P111" s="142">
        <f t="shared" si="25"/>
        <v>17.555</v>
      </c>
      <c r="Q111" s="142">
        <f t="shared" si="25"/>
        <v>8.9216666666666669</v>
      </c>
      <c r="R111" s="142">
        <f t="shared" si="25"/>
        <v>1.0950000000000002</v>
      </c>
      <c r="S111" s="142">
        <f t="shared" si="25"/>
        <v>170.48999999999998</v>
      </c>
      <c r="T111" s="142">
        <f t="shared" si="25"/>
        <v>20.914999999999999</v>
      </c>
      <c r="U111" s="142">
        <f t="shared" si="25"/>
        <v>13.824999999999999</v>
      </c>
      <c r="V111" s="142">
        <f t="shared" si="27"/>
        <v>4.1916666666666664</v>
      </c>
    </row>
    <row r="112" spans="1:26" x14ac:dyDescent="0.15">
      <c r="A112">
        <v>11</v>
      </c>
      <c r="B112" s="9" t="s">
        <v>402</v>
      </c>
      <c r="C112" s="142">
        <f t="shared" si="24"/>
        <v>156.82333333333332</v>
      </c>
      <c r="D112" s="142">
        <f t="shared" si="25"/>
        <v>51.73</v>
      </c>
      <c r="E112" s="142">
        <f t="shared" si="25"/>
        <v>25.280833333333334</v>
      </c>
      <c r="F112" s="142">
        <f t="shared" si="25"/>
        <v>4.4508333333333336</v>
      </c>
      <c r="G112" s="142">
        <f t="shared" si="25"/>
        <v>23.626666666666665</v>
      </c>
      <c r="H112" s="142">
        <f t="shared" si="25"/>
        <v>5.2858333333333336</v>
      </c>
      <c r="I112" s="142">
        <f t="shared" si="25"/>
        <v>46.819166666666668</v>
      </c>
      <c r="J112" s="142">
        <f t="shared" si="25"/>
        <v>9.4141666666666666</v>
      </c>
      <c r="K112" s="142">
        <f t="shared" si="25"/>
        <v>47.856666666666669</v>
      </c>
      <c r="L112" s="142">
        <f t="shared" si="25"/>
        <v>5.3224999999999998</v>
      </c>
      <c r="M112" s="142">
        <f t="shared" si="25"/>
        <v>301.0675</v>
      </c>
      <c r="N112" s="142">
        <f t="shared" si="25"/>
        <v>41.337499999999999</v>
      </c>
      <c r="O112" s="142">
        <f t="shared" si="25"/>
        <v>54.877499999999998</v>
      </c>
      <c r="P112" s="142">
        <f t="shared" si="25"/>
        <v>17.212500000000002</v>
      </c>
      <c r="Q112" s="142">
        <f t="shared" si="25"/>
        <v>8.9408333333333339</v>
      </c>
      <c r="R112" s="142">
        <f t="shared" si="25"/>
        <v>0.92750000000000021</v>
      </c>
      <c r="S112" s="142">
        <f t="shared" si="25"/>
        <v>170.065</v>
      </c>
      <c r="T112" s="142">
        <f t="shared" si="25"/>
        <v>20.7575</v>
      </c>
      <c r="U112" s="142">
        <f t="shared" si="25"/>
        <v>13.7875</v>
      </c>
      <c r="V112" s="142">
        <f t="shared" si="27"/>
        <v>4.0708333333333337</v>
      </c>
    </row>
    <row r="113" spans="1:26" x14ac:dyDescent="0.15">
      <c r="B113" s="9" t="s">
        <v>403</v>
      </c>
      <c r="C113" s="142">
        <f>熊本県基準値!B16</f>
        <v>156.88</v>
      </c>
      <c r="D113" s="142">
        <f>熊本県基準値!C16</f>
        <v>51.86</v>
      </c>
      <c r="E113" s="143">
        <f>熊本県基準値!D16</f>
        <v>25.26</v>
      </c>
      <c r="F113" s="143">
        <f>熊本県基準値!E16</f>
        <v>4.37</v>
      </c>
      <c r="G113" s="143">
        <f>熊本県基準値!F16</f>
        <v>23.57</v>
      </c>
      <c r="H113" s="143">
        <f>熊本県基準値!G16</f>
        <v>5.21</v>
      </c>
      <c r="I113" s="143">
        <f>熊本県基準値!H16</f>
        <v>46.85</v>
      </c>
      <c r="J113" s="143">
        <f>熊本県基準値!I16</f>
        <v>9.39</v>
      </c>
      <c r="K113" s="143">
        <f>熊本県基準値!J16</f>
        <v>47.75</v>
      </c>
      <c r="L113" s="143">
        <f>熊本県基準値!K16</f>
        <v>5.15</v>
      </c>
      <c r="M113" s="142">
        <f>熊本県基準値!L16</f>
        <v>302.41000000000003</v>
      </c>
      <c r="N113" s="142">
        <f>熊本県基準値!M16</f>
        <v>40.549999999999997</v>
      </c>
      <c r="O113" s="143">
        <f>熊本県基準値!N16</f>
        <v>54.15</v>
      </c>
      <c r="P113" s="143">
        <f>熊本県基準値!O16</f>
        <v>16.87</v>
      </c>
      <c r="Q113" s="143">
        <f>熊本県基準値!P16</f>
        <v>8.9600000000000009</v>
      </c>
      <c r="R113" s="143">
        <f>熊本県基準値!Q16</f>
        <v>0.76</v>
      </c>
      <c r="S113" s="144">
        <f>熊本県基準値!R16</f>
        <v>169.64</v>
      </c>
      <c r="T113" s="144">
        <f>熊本県基準値!S16</f>
        <v>20.6</v>
      </c>
      <c r="U113" s="142">
        <f>熊本県基準値!T16</f>
        <v>13.75</v>
      </c>
      <c r="V113" s="142">
        <f>熊本県基準値!U16</f>
        <v>3.95</v>
      </c>
      <c r="Z113" s="37"/>
    </row>
    <row r="114" spans="1:26" x14ac:dyDescent="0.15">
      <c r="A114">
        <v>1</v>
      </c>
      <c r="B114" s="9" t="s">
        <v>404</v>
      </c>
      <c r="C114" s="142">
        <f t="shared" ref="C114:C124" si="28">(C$125-C$113)/12*$A114+C$113</f>
        <v>156.91083333333333</v>
      </c>
      <c r="D114" s="142">
        <f t="shared" ref="D114:V124" si="29">(D$125-D$113)/12*$A114+D$113</f>
        <v>51.915833333333332</v>
      </c>
      <c r="E114" s="142">
        <f t="shared" si="29"/>
        <v>25.330833333333334</v>
      </c>
      <c r="F114" s="142">
        <f t="shared" si="29"/>
        <v>4.3783333333333339</v>
      </c>
      <c r="G114" s="142">
        <f t="shared" si="29"/>
        <v>23.63</v>
      </c>
      <c r="H114" s="142">
        <f t="shared" si="29"/>
        <v>5.22</v>
      </c>
      <c r="I114" s="142">
        <f t="shared" si="29"/>
        <v>46.95</v>
      </c>
      <c r="J114" s="142">
        <f t="shared" si="29"/>
        <v>9.3908333333333331</v>
      </c>
      <c r="K114" s="142">
        <f t="shared" si="29"/>
        <v>47.822499999999998</v>
      </c>
      <c r="L114" s="142">
        <f t="shared" si="29"/>
        <v>5.1625000000000005</v>
      </c>
      <c r="M114" s="142">
        <f t="shared" si="29"/>
        <v>302.45333333333338</v>
      </c>
      <c r="N114" s="142">
        <f t="shared" si="29"/>
        <v>40.793333333333329</v>
      </c>
      <c r="O114" s="142">
        <f t="shared" si="29"/>
        <v>54.364999999999995</v>
      </c>
      <c r="P114" s="142">
        <f t="shared" si="29"/>
        <v>16.861666666666668</v>
      </c>
      <c r="Q114" s="142">
        <f t="shared" si="29"/>
        <v>8.9550000000000001</v>
      </c>
      <c r="R114" s="142">
        <f t="shared" si="29"/>
        <v>0.76166666666666671</v>
      </c>
      <c r="S114" s="142">
        <f t="shared" si="29"/>
        <v>169.85583333333332</v>
      </c>
      <c r="T114" s="142">
        <f t="shared" si="29"/>
        <v>20.639166666666668</v>
      </c>
      <c r="U114" s="142">
        <f t="shared" si="29"/>
        <v>13.801666666666666</v>
      </c>
      <c r="V114" s="142">
        <f t="shared" si="29"/>
        <v>3.9675000000000002</v>
      </c>
    </row>
    <row r="115" spans="1:26" x14ac:dyDescent="0.15">
      <c r="A115">
        <v>2</v>
      </c>
      <c r="B115" s="9" t="s">
        <v>405</v>
      </c>
      <c r="C115" s="142">
        <f t="shared" si="28"/>
        <v>156.94166666666666</v>
      </c>
      <c r="D115" s="142">
        <f t="shared" ref="D115:R115" si="30">(D$125-D$113)/12*$A115+D$113</f>
        <v>51.971666666666664</v>
      </c>
      <c r="E115" s="142">
        <f t="shared" si="30"/>
        <v>25.401666666666667</v>
      </c>
      <c r="F115" s="142">
        <f t="shared" si="30"/>
        <v>4.3866666666666667</v>
      </c>
      <c r="G115" s="142">
        <f t="shared" si="30"/>
        <v>23.69</v>
      </c>
      <c r="H115" s="142">
        <f t="shared" si="30"/>
        <v>5.23</v>
      </c>
      <c r="I115" s="142">
        <f t="shared" si="30"/>
        <v>47.05</v>
      </c>
      <c r="J115" s="142">
        <f t="shared" si="30"/>
        <v>9.3916666666666675</v>
      </c>
      <c r="K115" s="142">
        <f t="shared" si="30"/>
        <v>47.894999999999996</v>
      </c>
      <c r="L115" s="142">
        <f t="shared" si="30"/>
        <v>5.1750000000000007</v>
      </c>
      <c r="M115" s="142">
        <f t="shared" si="30"/>
        <v>302.49666666666667</v>
      </c>
      <c r="N115" s="142">
        <f t="shared" si="30"/>
        <v>41.036666666666662</v>
      </c>
      <c r="O115" s="142">
        <f t="shared" si="30"/>
        <v>54.58</v>
      </c>
      <c r="P115" s="142">
        <f t="shared" si="30"/>
        <v>16.853333333333335</v>
      </c>
      <c r="Q115" s="142">
        <f t="shared" si="30"/>
        <v>8.9500000000000011</v>
      </c>
      <c r="R115" s="142">
        <f t="shared" si="30"/>
        <v>0.76333333333333331</v>
      </c>
      <c r="S115" s="142">
        <f t="shared" si="29"/>
        <v>170.07166666666666</v>
      </c>
      <c r="T115" s="142">
        <f t="shared" si="29"/>
        <v>20.678333333333335</v>
      </c>
      <c r="U115" s="142">
        <f t="shared" si="29"/>
        <v>13.853333333333333</v>
      </c>
      <c r="V115" s="142">
        <f t="shared" si="29"/>
        <v>3.9850000000000003</v>
      </c>
    </row>
    <row r="116" spans="1:26" x14ac:dyDescent="0.15">
      <c r="A116">
        <v>3</v>
      </c>
      <c r="B116" s="9" t="s">
        <v>406</v>
      </c>
      <c r="C116" s="142">
        <f t="shared" si="28"/>
        <v>156.9725</v>
      </c>
      <c r="D116" s="142">
        <f t="shared" si="29"/>
        <v>52.027500000000003</v>
      </c>
      <c r="E116" s="142">
        <f t="shared" si="29"/>
        <v>25.4725</v>
      </c>
      <c r="F116" s="142">
        <f t="shared" si="29"/>
        <v>4.3949999999999996</v>
      </c>
      <c r="G116" s="142">
        <f t="shared" si="29"/>
        <v>23.75</v>
      </c>
      <c r="H116" s="142">
        <f t="shared" si="29"/>
        <v>5.24</v>
      </c>
      <c r="I116" s="142">
        <f t="shared" si="29"/>
        <v>47.15</v>
      </c>
      <c r="J116" s="142">
        <f t="shared" si="29"/>
        <v>9.3925000000000001</v>
      </c>
      <c r="K116" s="142">
        <f t="shared" si="29"/>
        <v>47.967500000000001</v>
      </c>
      <c r="L116" s="142">
        <f t="shared" si="29"/>
        <v>5.1875</v>
      </c>
      <c r="M116" s="142">
        <f t="shared" si="29"/>
        <v>302.54000000000002</v>
      </c>
      <c r="N116" s="142">
        <f t="shared" si="29"/>
        <v>41.28</v>
      </c>
      <c r="O116" s="142">
        <f t="shared" si="29"/>
        <v>54.795000000000002</v>
      </c>
      <c r="P116" s="142">
        <f t="shared" si="29"/>
        <v>16.844999999999999</v>
      </c>
      <c r="Q116" s="142">
        <f t="shared" si="29"/>
        <v>8.9450000000000003</v>
      </c>
      <c r="R116" s="142">
        <f t="shared" si="29"/>
        <v>0.76500000000000001</v>
      </c>
      <c r="S116" s="142">
        <f t="shared" si="29"/>
        <v>170.28749999999999</v>
      </c>
      <c r="T116" s="142">
        <f t="shared" si="29"/>
        <v>20.717500000000001</v>
      </c>
      <c r="U116" s="142">
        <f t="shared" si="29"/>
        <v>13.904999999999999</v>
      </c>
      <c r="V116" s="142">
        <f t="shared" si="29"/>
        <v>4.0025000000000004</v>
      </c>
    </row>
    <row r="117" spans="1:26" x14ac:dyDescent="0.15">
      <c r="A117">
        <v>4</v>
      </c>
      <c r="B117" s="9" t="s">
        <v>407</v>
      </c>
      <c r="C117" s="142">
        <f t="shared" si="28"/>
        <v>157.00333333333333</v>
      </c>
      <c r="D117" s="142">
        <f t="shared" si="29"/>
        <v>52.083333333333336</v>
      </c>
      <c r="E117" s="142">
        <f t="shared" si="29"/>
        <v>25.543333333333333</v>
      </c>
      <c r="F117" s="142">
        <f t="shared" si="29"/>
        <v>4.4033333333333333</v>
      </c>
      <c r="G117" s="142">
        <f t="shared" si="29"/>
        <v>23.81</v>
      </c>
      <c r="H117" s="142">
        <f t="shared" si="29"/>
        <v>5.25</v>
      </c>
      <c r="I117" s="142">
        <f t="shared" si="29"/>
        <v>47.25</v>
      </c>
      <c r="J117" s="142">
        <f t="shared" si="29"/>
        <v>9.3933333333333344</v>
      </c>
      <c r="K117" s="142">
        <f t="shared" si="29"/>
        <v>48.04</v>
      </c>
      <c r="L117" s="142">
        <f t="shared" si="29"/>
        <v>5.2</v>
      </c>
      <c r="M117" s="142">
        <f t="shared" si="29"/>
        <v>302.58333333333337</v>
      </c>
      <c r="N117" s="142">
        <f t="shared" si="29"/>
        <v>41.523333333333333</v>
      </c>
      <c r="O117" s="142">
        <f t="shared" si="29"/>
        <v>55.01</v>
      </c>
      <c r="P117" s="142">
        <f t="shared" si="29"/>
        <v>16.836666666666666</v>
      </c>
      <c r="Q117" s="142">
        <f t="shared" si="29"/>
        <v>8.9400000000000013</v>
      </c>
      <c r="R117" s="142">
        <f t="shared" si="29"/>
        <v>0.76666666666666672</v>
      </c>
      <c r="S117" s="142">
        <f t="shared" si="29"/>
        <v>170.50333333333333</v>
      </c>
      <c r="T117" s="142">
        <f t="shared" si="29"/>
        <v>20.756666666666668</v>
      </c>
      <c r="U117" s="142">
        <f t="shared" si="29"/>
        <v>13.956666666666667</v>
      </c>
      <c r="V117" s="142">
        <f t="shared" si="29"/>
        <v>4.0200000000000005</v>
      </c>
    </row>
    <row r="118" spans="1:26" x14ac:dyDescent="0.15">
      <c r="A118">
        <v>5</v>
      </c>
      <c r="B118" s="9" t="s">
        <v>408</v>
      </c>
      <c r="C118" s="142">
        <f t="shared" si="28"/>
        <v>157.03416666666666</v>
      </c>
      <c r="D118" s="142">
        <f t="shared" si="29"/>
        <v>52.139166666666668</v>
      </c>
      <c r="E118" s="142">
        <f t="shared" si="29"/>
        <v>25.614166666666666</v>
      </c>
      <c r="F118" s="142">
        <f t="shared" si="29"/>
        <v>4.4116666666666671</v>
      </c>
      <c r="G118" s="142">
        <f t="shared" si="29"/>
        <v>23.87</v>
      </c>
      <c r="H118" s="142">
        <f t="shared" si="29"/>
        <v>5.26</v>
      </c>
      <c r="I118" s="142">
        <f t="shared" si="29"/>
        <v>47.35</v>
      </c>
      <c r="J118" s="142">
        <f t="shared" si="29"/>
        <v>9.394166666666667</v>
      </c>
      <c r="K118" s="142">
        <f t="shared" si="29"/>
        <v>48.112499999999997</v>
      </c>
      <c r="L118" s="142">
        <f t="shared" si="29"/>
        <v>5.2125000000000004</v>
      </c>
      <c r="M118" s="142">
        <f t="shared" si="29"/>
        <v>302.62666666666667</v>
      </c>
      <c r="N118" s="142">
        <f t="shared" si="29"/>
        <v>41.766666666666666</v>
      </c>
      <c r="O118" s="142">
        <f t="shared" si="29"/>
        <v>55.224999999999994</v>
      </c>
      <c r="P118" s="142">
        <f t="shared" si="29"/>
        <v>16.828333333333333</v>
      </c>
      <c r="Q118" s="142">
        <f t="shared" si="29"/>
        <v>8.9350000000000005</v>
      </c>
      <c r="R118" s="142">
        <f t="shared" si="29"/>
        <v>0.76833333333333331</v>
      </c>
      <c r="S118" s="142">
        <f t="shared" si="29"/>
        <v>170.71916666666667</v>
      </c>
      <c r="T118" s="142">
        <f t="shared" si="29"/>
        <v>20.795833333333334</v>
      </c>
      <c r="U118" s="142">
        <f t="shared" si="29"/>
        <v>14.008333333333333</v>
      </c>
      <c r="V118" s="142">
        <f t="shared" si="29"/>
        <v>4.0375000000000005</v>
      </c>
    </row>
    <row r="119" spans="1:26" x14ac:dyDescent="0.15">
      <c r="A119">
        <v>6</v>
      </c>
      <c r="B119" s="9" t="s">
        <v>409</v>
      </c>
      <c r="C119" s="142">
        <f t="shared" si="28"/>
        <v>157.065</v>
      </c>
      <c r="D119" s="142">
        <f t="shared" si="29"/>
        <v>52.195</v>
      </c>
      <c r="E119" s="142">
        <f t="shared" si="29"/>
        <v>25.685000000000002</v>
      </c>
      <c r="F119" s="142">
        <f t="shared" si="29"/>
        <v>4.42</v>
      </c>
      <c r="G119" s="142">
        <f t="shared" si="29"/>
        <v>23.93</v>
      </c>
      <c r="H119" s="142">
        <f t="shared" si="29"/>
        <v>5.27</v>
      </c>
      <c r="I119" s="142">
        <f t="shared" si="29"/>
        <v>47.45</v>
      </c>
      <c r="J119" s="142">
        <f t="shared" si="29"/>
        <v>9.3949999999999996</v>
      </c>
      <c r="K119" s="142">
        <f t="shared" si="29"/>
        <v>48.185000000000002</v>
      </c>
      <c r="L119" s="142">
        <f t="shared" si="29"/>
        <v>5.2249999999999996</v>
      </c>
      <c r="M119" s="142">
        <f t="shared" si="29"/>
        <v>302.67</v>
      </c>
      <c r="N119" s="142">
        <f t="shared" si="29"/>
        <v>42.01</v>
      </c>
      <c r="O119" s="142">
        <f t="shared" si="29"/>
        <v>55.44</v>
      </c>
      <c r="P119" s="142">
        <f t="shared" si="29"/>
        <v>16.82</v>
      </c>
      <c r="Q119" s="142">
        <f t="shared" si="29"/>
        <v>8.93</v>
      </c>
      <c r="R119" s="142">
        <f t="shared" si="29"/>
        <v>0.77</v>
      </c>
      <c r="S119" s="142">
        <f t="shared" si="29"/>
        <v>170.935</v>
      </c>
      <c r="T119" s="142">
        <f t="shared" si="29"/>
        <v>20.835000000000001</v>
      </c>
      <c r="U119" s="142">
        <f t="shared" si="29"/>
        <v>14.059999999999999</v>
      </c>
      <c r="V119" s="142">
        <f t="shared" si="29"/>
        <v>4.0549999999999997</v>
      </c>
    </row>
    <row r="120" spans="1:26" x14ac:dyDescent="0.15">
      <c r="A120">
        <v>7</v>
      </c>
      <c r="B120" s="9" t="s">
        <v>410</v>
      </c>
      <c r="C120" s="142">
        <f t="shared" si="28"/>
        <v>157.09583333333333</v>
      </c>
      <c r="D120" s="142">
        <f t="shared" si="29"/>
        <v>52.250833333333333</v>
      </c>
      <c r="E120" s="142">
        <f t="shared" si="29"/>
        <v>25.755833333333335</v>
      </c>
      <c r="F120" s="142">
        <f t="shared" si="29"/>
        <v>4.4283333333333328</v>
      </c>
      <c r="G120" s="142">
        <f t="shared" si="29"/>
        <v>23.99</v>
      </c>
      <c r="H120" s="142">
        <f t="shared" si="29"/>
        <v>5.28</v>
      </c>
      <c r="I120" s="142">
        <f t="shared" si="29"/>
        <v>47.55</v>
      </c>
      <c r="J120" s="142">
        <f t="shared" si="29"/>
        <v>9.3958333333333339</v>
      </c>
      <c r="K120" s="142">
        <f t="shared" si="29"/>
        <v>48.2575</v>
      </c>
      <c r="L120" s="142">
        <f t="shared" si="29"/>
        <v>5.2374999999999998</v>
      </c>
      <c r="M120" s="142">
        <f t="shared" si="29"/>
        <v>302.71333333333337</v>
      </c>
      <c r="N120" s="142">
        <f t="shared" si="29"/>
        <v>42.25333333333333</v>
      </c>
      <c r="O120" s="142">
        <f t="shared" si="29"/>
        <v>55.655000000000001</v>
      </c>
      <c r="P120" s="142">
        <f t="shared" si="29"/>
        <v>16.811666666666667</v>
      </c>
      <c r="Q120" s="142">
        <f t="shared" si="29"/>
        <v>8.9250000000000007</v>
      </c>
      <c r="R120" s="142">
        <f t="shared" si="29"/>
        <v>0.77166666666666672</v>
      </c>
      <c r="S120" s="142">
        <f t="shared" si="29"/>
        <v>171.15083333333331</v>
      </c>
      <c r="T120" s="142">
        <f t="shared" si="29"/>
        <v>20.874166666666667</v>
      </c>
      <c r="U120" s="142">
        <f t="shared" si="29"/>
        <v>14.111666666666666</v>
      </c>
      <c r="V120" s="142">
        <f t="shared" si="29"/>
        <v>4.0724999999999998</v>
      </c>
    </row>
    <row r="121" spans="1:26" x14ac:dyDescent="0.15">
      <c r="A121">
        <v>8</v>
      </c>
      <c r="B121" s="9" t="s">
        <v>411</v>
      </c>
      <c r="C121" s="142">
        <f t="shared" si="28"/>
        <v>157.12666666666667</v>
      </c>
      <c r="D121" s="142">
        <f t="shared" si="29"/>
        <v>52.306666666666665</v>
      </c>
      <c r="E121" s="142">
        <f t="shared" si="29"/>
        <v>25.826666666666668</v>
      </c>
      <c r="F121" s="142">
        <f t="shared" si="29"/>
        <v>4.4366666666666665</v>
      </c>
      <c r="G121" s="142">
        <f t="shared" si="29"/>
        <v>24.05</v>
      </c>
      <c r="H121" s="142">
        <f t="shared" si="29"/>
        <v>5.29</v>
      </c>
      <c r="I121" s="142">
        <f t="shared" si="29"/>
        <v>47.65</v>
      </c>
      <c r="J121" s="142">
        <f t="shared" si="29"/>
        <v>9.3966666666666665</v>
      </c>
      <c r="K121" s="142">
        <f t="shared" si="29"/>
        <v>48.33</v>
      </c>
      <c r="L121" s="142">
        <f t="shared" si="29"/>
        <v>5.25</v>
      </c>
      <c r="M121" s="142">
        <f t="shared" si="29"/>
        <v>302.75666666666666</v>
      </c>
      <c r="N121" s="142">
        <f t="shared" si="29"/>
        <v>42.496666666666663</v>
      </c>
      <c r="O121" s="142">
        <f t="shared" si="29"/>
        <v>55.87</v>
      </c>
      <c r="P121" s="142">
        <f t="shared" si="29"/>
        <v>16.803333333333335</v>
      </c>
      <c r="Q121" s="142">
        <f t="shared" si="29"/>
        <v>8.92</v>
      </c>
      <c r="R121" s="142">
        <f t="shared" si="29"/>
        <v>0.77333333333333332</v>
      </c>
      <c r="S121" s="142">
        <f t="shared" si="29"/>
        <v>171.36666666666665</v>
      </c>
      <c r="T121" s="142">
        <f t="shared" si="29"/>
        <v>20.913333333333334</v>
      </c>
      <c r="U121" s="142">
        <f t="shared" si="29"/>
        <v>14.163333333333332</v>
      </c>
      <c r="V121" s="142">
        <f t="shared" si="29"/>
        <v>4.09</v>
      </c>
    </row>
    <row r="122" spans="1:26" x14ac:dyDescent="0.15">
      <c r="A122">
        <v>9</v>
      </c>
      <c r="B122" s="9" t="s">
        <v>412</v>
      </c>
      <c r="C122" s="142">
        <f t="shared" si="28"/>
        <v>157.1575</v>
      </c>
      <c r="D122" s="142">
        <f t="shared" si="29"/>
        <v>52.362499999999997</v>
      </c>
      <c r="E122" s="142">
        <f t="shared" si="29"/>
        <v>25.897500000000001</v>
      </c>
      <c r="F122" s="142">
        <f t="shared" si="29"/>
        <v>4.4450000000000003</v>
      </c>
      <c r="G122" s="142">
        <f t="shared" si="29"/>
        <v>24.11</v>
      </c>
      <c r="H122" s="142">
        <f t="shared" si="29"/>
        <v>5.3</v>
      </c>
      <c r="I122" s="142">
        <f t="shared" si="29"/>
        <v>47.75</v>
      </c>
      <c r="J122" s="142">
        <f t="shared" si="29"/>
        <v>9.3975000000000009</v>
      </c>
      <c r="K122" s="142">
        <f t="shared" si="29"/>
        <v>48.402499999999996</v>
      </c>
      <c r="L122" s="142">
        <f t="shared" si="29"/>
        <v>5.2625000000000002</v>
      </c>
      <c r="M122" s="142">
        <f t="shared" si="29"/>
        <v>302.8</v>
      </c>
      <c r="N122" s="142">
        <f t="shared" si="29"/>
        <v>42.739999999999995</v>
      </c>
      <c r="O122" s="142">
        <f t="shared" si="29"/>
        <v>56.084999999999994</v>
      </c>
      <c r="P122" s="142">
        <f t="shared" si="29"/>
        <v>16.795000000000002</v>
      </c>
      <c r="Q122" s="142">
        <f t="shared" si="29"/>
        <v>8.9150000000000009</v>
      </c>
      <c r="R122" s="142">
        <f t="shared" si="29"/>
        <v>0.77500000000000002</v>
      </c>
      <c r="S122" s="142">
        <f t="shared" si="29"/>
        <v>171.58249999999998</v>
      </c>
      <c r="T122" s="142">
        <f t="shared" si="29"/>
        <v>20.952500000000001</v>
      </c>
      <c r="U122" s="142">
        <f t="shared" si="29"/>
        <v>14.215</v>
      </c>
      <c r="V122" s="142">
        <f t="shared" si="29"/>
        <v>4.1074999999999999</v>
      </c>
    </row>
    <row r="123" spans="1:26" x14ac:dyDescent="0.15">
      <c r="A123">
        <v>10</v>
      </c>
      <c r="B123" s="9" t="s">
        <v>413</v>
      </c>
      <c r="C123" s="142">
        <f t="shared" si="28"/>
        <v>157.18833333333333</v>
      </c>
      <c r="D123" s="142">
        <f t="shared" si="29"/>
        <v>52.418333333333337</v>
      </c>
      <c r="E123" s="142">
        <f t="shared" si="29"/>
        <v>25.968333333333334</v>
      </c>
      <c r="F123" s="142">
        <f t="shared" si="29"/>
        <v>4.4533333333333331</v>
      </c>
      <c r="G123" s="142">
        <f t="shared" si="29"/>
        <v>24.169999999999998</v>
      </c>
      <c r="H123" s="142">
        <f t="shared" si="29"/>
        <v>5.3100000000000005</v>
      </c>
      <c r="I123" s="142">
        <f t="shared" si="29"/>
        <v>47.849999999999994</v>
      </c>
      <c r="J123" s="142">
        <f t="shared" si="29"/>
        <v>9.3983333333333334</v>
      </c>
      <c r="K123" s="142">
        <f t="shared" si="29"/>
        <v>48.474999999999994</v>
      </c>
      <c r="L123" s="142">
        <f t="shared" si="29"/>
        <v>5.2750000000000004</v>
      </c>
      <c r="M123" s="142">
        <f t="shared" si="29"/>
        <v>302.84333333333336</v>
      </c>
      <c r="N123" s="142">
        <f t="shared" si="29"/>
        <v>42.983333333333334</v>
      </c>
      <c r="O123" s="142">
        <f t="shared" si="29"/>
        <v>56.3</v>
      </c>
      <c r="P123" s="142">
        <f t="shared" si="29"/>
        <v>16.786666666666665</v>
      </c>
      <c r="Q123" s="142">
        <f t="shared" si="29"/>
        <v>8.91</v>
      </c>
      <c r="R123" s="142">
        <f t="shared" si="29"/>
        <v>0.77666666666666673</v>
      </c>
      <c r="S123" s="142">
        <f t="shared" si="29"/>
        <v>171.79833333333332</v>
      </c>
      <c r="T123" s="142">
        <f t="shared" si="29"/>
        <v>20.991666666666667</v>
      </c>
      <c r="U123" s="142">
        <f t="shared" si="29"/>
        <v>14.266666666666666</v>
      </c>
      <c r="V123" s="142">
        <f t="shared" si="29"/>
        <v>4.125</v>
      </c>
    </row>
    <row r="124" spans="1:26" x14ac:dyDescent="0.15">
      <c r="A124">
        <v>11</v>
      </c>
      <c r="B124" s="9" t="s">
        <v>414</v>
      </c>
      <c r="C124" s="142">
        <f t="shared" si="28"/>
        <v>157.21916666666667</v>
      </c>
      <c r="D124" s="142">
        <f t="shared" si="29"/>
        <v>52.474166666666669</v>
      </c>
      <c r="E124" s="142">
        <f t="shared" si="29"/>
        <v>26.039166666666667</v>
      </c>
      <c r="F124" s="142">
        <f t="shared" si="29"/>
        <v>4.461666666666666</v>
      </c>
      <c r="G124" s="142">
        <f t="shared" si="29"/>
        <v>24.23</v>
      </c>
      <c r="H124" s="142">
        <f t="shared" si="29"/>
        <v>5.32</v>
      </c>
      <c r="I124" s="142">
        <f t="shared" si="29"/>
        <v>47.949999999999996</v>
      </c>
      <c r="J124" s="142">
        <f t="shared" si="29"/>
        <v>9.3991666666666678</v>
      </c>
      <c r="K124" s="142">
        <f t="shared" si="29"/>
        <v>48.547499999999999</v>
      </c>
      <c r="L124" s="142">
        <f t="shared" si="29"/>
        <v>5.2874999999999996</v>
      </c>
      <c r="M124" s="142">
        <f t="shared" si="29"/>
        <v>302.88666666666666</v>
      </c>
      <c r="N124" s="142">
        <f t="shared" si="29"/>
        <v>43.226666666666667</v>
      </c>
      <c r="O124" s="142">
        <f t="shared" si="29"/>
        <v>56.515000000000001</v>
      </c>
      <c r="P124" s="142">
        <f t="shared" si="29"/>
        <v>16.778333333333332</v>
      </c>
      <c r="Q124" s="142">
        <f t="shared" si="29"/>
        <v>8.9050000000000011</v>
      </c>
      <c r="R124" s="142">
        <f t="shared" si="29"/>
        <v>0.77833333333333332</v>
      </c>
      <c r="S124" s="142">
        <f t="shared" si="29"/>
        <v>172.01416666666665</v>
      </c>
      <c r="T124" s="142">
        <f t="shared" si="29"/>
        <v>21.030833333333334</v>
      </c>
      <c r="U124" s="142">
        <f t="shared" si="29"/>
        <v>14.318333333333333</v>
      </c>
      <c r="V124" s="142">
        <f t="shared" si="29"/>
        <v>4.1425000000000001</v>
      </c>
    </row>
    <row r="125" spans="1:26" x14ac:dyDescent="0.15">
      <c r="B125" s="9" t="s">
        <v>415</v>
      </c>
      <c r="C125" s="142">
        <f>熊本県基準値!B17</f>
        <v>157.25</v>
      </c>
      <c r="D125" s="142">
        <f>熊本県基準値!C17</f>
        <v>52.53</v>
      </c>
      <c r="E125" s="143">
        <f>熊本県基準値!D17</f>
        <v>26.11</v>
      </c>
      <c r="F125" s="143">
        <f>熊本県基準値!E17</f>
        <v>4.47</v>
      </c>
      <c r="G125" s="143">
        <f>熊本県基準値!F17</f>
        <v>24.29</v>
      </c>
      <c r="H125" s="143">
        <f>熊本県基準値!G17</f>
        <v>5.33</v>
      </c>
      <c r="I125" s="143">
        <f>熊本県基準値!H17</f>
        <v>48.05</v>
      </c>
      <c r="J125" s="143">
        <f>熊本県基準値!I17</f>
        <v>9.4</v>
      </c>
      <c r="K125" s="143">
        <f>熊本県基準値!J17</f>
        <v>48.62</v>
      </c>
      <c r="L125" s="143">
        <f>熊本県基準値!K17</f>
        <v>5.3</v>
      </c>
      <c r="M125" s="142">
        <f>熊本県基準値!L17</f>
        <v>302.93</v>
      </c>
      <c r="N125" s="142">
        <f>熊本県基準値!M17</f>
        <v>43.47</v>
      </c>
      <c r="O125" s="143">
        <f>熊本県基準値!N17</f>
        <v>56.73</v>
      </c>
      <c r="P125" s="143">
        <f>熊本県基準値!O17</f>
        <v>16.77</v>
      </c>
      <c r="Q125" s="143">
        <f>熊本県基準値!P17</f>
        <v>8.9</v>
      </c>
      <c r="R125" s="143">
        <f>熊本県基準値!Q17</f>
        <v>0.78</v>
      </c>
      <c r="S125" s="144">
        <f>熊本県基準値!R17</f>
        <v>172.23</v>
      </c>
      <c r="T125" s="144">
        <f>熊本県基準値!S17</f>
        <v>21.07</v>
      </c>
      <c r="U125" s="142">
        <f>熊本県基準値!T17</f>
        <v>14.37</v>
      </c>
      <c r="V125" s="142">
        <f>熊本県基準値!U17</f>
        <v>4.16</v>
      </c>
      <c r="Z125" s="37"/>
    </row>
    <row r="126" spans="1:26" x14ac:dyDescent="0.15">
      <c r="A126">
        <v>1</v>
      </c>
      <c r="B126" s="9" t="s">
        <v>416</v>
      </c>
      <c r="C126" s="142">
        <f t="shared" ref="C126:C136" si="31">(C$137-C$125)/12*$A126+C$125</f>
        <v>157.27250000000001</v>
      </c>
      <c r="D126" s="142">
        <f t="shared" ref="D126:V136" si="32">(D$137-D$125)/12*$A126+D$125</f>
        <v>52.564999999999998</v>
      </c>
      <c r="E126" s="142">
        <f t="shared" si="32"/>
        <v>26.139166666666668</v>
      </c>
      <c r="F126" s="142">
        <f t="shared" si="32"/>
        <v>4.4733333333333327</v>
      </c>
      <c r="G126" s="142">
        <f t="shared" si="32"/>
        <v>24.331666666666667</v>
      </c>
      <c r="H126" s="142">
        <f t="shared" si="32"/>
        <v>5.3458333333333332</v>
      </c>
      <c r="I126" s="142">
        <f t="shared" si="32"/>
        <v>48.154166666666661</v>
      </c>
      <c r="J126" s="142">
        <f t="shared" si="32"/>
        <v>9.4091666666666676</v>
      </c>
      <c r="K126" s="142">
        <f t="shared" si="32"/>
        <v>48.644999999999996</v>
      </c>
      <c r="L126" s="142">
        <f t="shared" si="32"/>
        <v>5.31</v>
      </c>
      <c r="M126" s="142">
        <f t="shared" si="32"/>
        <v>302.99583333333334</v>
      </c>
      <c r="N126" s="142">
        <f t="shared" si="32"/>
        <v>43.68</v>
      </c>
      <c r="O126" s="142">
        <f t="shared" si="32"/>
        <v>56.66</v>
      </c>
      <c r="P126" s="142">
        <f t="shared" si="32"/>
        <v>16.788333333333334</v>
      </c>
      <c r="Q126" s="142">
        <f t="shared" si="32"/>
        <v>8.9016666666666673</v>
      </c>
      <c r="R126" s="142">
        <f t="shared" si="32"/>
        <v>0.79416666666666669</v>
      </c>
      <c r="S126" s="142">
        <f t="shared" si="32"/>
        <v>172.35249999999999</v>
      </c>
      <c r="T126" s="142">
        <f t="shared" si="32"/>
        <v>21.080833333333334</v>
      </c>
      <c r="U126" s="142">
        <f t="shared" si="32"/>
        <v>14.394166666666665</v>
      </c>
      <c r="V126" s="142">
        <f t="shared" si="32"/>
        <v>4.166666666666667</v>
      </c>
    </row>
    <row r="127" spans="1:26" x14ac:dyDescent="0.15">
      <c r="A127">
        <v>2</v>
      </c>
      <c r="B127" s="9" t="s">
        <v>417</v>
      </c>
      <c r="C127" s="142">
        <f t="shared" si="31"/>
        <v>157.29500000000002</v>
      </c>
      <c r="D127" s="142">
        <f t="shared" ref="D127:R127" si="33">(D$137-D$125)/12*$A127+D$125</f>
        <v>52.6</v>
      </c>
      <c r="E127" s="142">
        <f t="shared" si="33"/>
        <v>26.168333333333333</v>
      </c>
      <c r="F127" s="142">
        <f t="shared" si="33"/>
        <v>4.4766666666666666</v>
      </c>
      <c r="G127" s="142">
        <f t="shared" si="33"/>
        <v>24.373333333333331</v>
      </c>
      <c r="H127" s="142">
        <f t="shared" si="33"/>
        <v>5.3616666666666664</v>
      </c>
      <c r="I127" s="142">
        <f t="shared" si="33"/>
        <v>48.258333333333333</v>
      </c>
      <c r="J127" s="142">
        <f t="shared" si="33"/>
        <v>9.418333333333333</v>
      </c>
      <c r="K127" s="142">
        <f t="shared" si="33"/>
        <v>48.67</v>
      </c>
      <c r="L127" s="142">
        <f t="shared" si="33"/>
        <v>5.32</v>
      </c>
      <c r="M127" s="142">
        <f t="shared" si="33"/>
        <v>303.06166666666667</v>
      </c>
      <c r="N127" s="142">
        <f t="shared" si="33"/>
        <v>43.89</v>
      </c>
      <c r="O127" s="142">
        <f t="shared" si="33"/>
        <v>56.589999999999996</v>
      </c>
      <c r="P127" s="142">
        <f t="shared" si="33"/>
        <v>16.806666666666665</v>
      </c>
      <c r="Q127" s="142">
        <f t="shared" si="33"/>
        <v>8.9033333333333342</v>
      </c>
      <c r="R127" s="142">
        <f t="shared" si="33"/>
        <v>0.80833333333333335</v>
      </c>
      <c r="S127" s="142">
        <f t="shared" si="32"/>
        <v>172.47499999999999</v>
      </c>
      <c r="T127" s="142">
        <f t="shared" si="32"/>
        <v>21.091666666666669</v>
      </c>
      <c r="U127" s="142">
        <f t="shared" si="32"/>
        <v>14.418333333333333</v>
      </c>
      <c r="V127" s="142">
        <f t="shared" si="32"/>
        <v>4.1733333333333338</v>
      </c>
    </row>
    <row r="128" spans="1:26" x14ac:dyDescent="0.15">
      <c r="A128">
        <v>3</v>
      </c>
      <c r="B128" s="9" t="s">
        <v>418</v>
      </c>
      <c r="C128" s="142">
        <f t="shared" si="31"/>
        <v>157.3175</v>
      </c>
      <c r="D128" s="142">
        <f t="shared" si="32"/>
        <v>52.635000000000005</v>
      </c>
      <c r="E128" s="142">
        <f t="shared" si="32"/>
        <v>26.197499999999998</v>
      </c>
      <c r="F128" s="142">
        <f t="shared" si="32"/>
        <v>4.4799999999999995</v>
      </c>
      <c r="G128" s="142">
        <f t="shared" si="32"/>
        <v>24.414999999999999</v>
      </c>
      <c r="H128" s="142">
        <f t="shared" si="32"/>
        <v>5.3774999999999995</v>
      </c>
      <c r="I128" s="142">
        <f t="shared" si="32"/>
        <v>48.362499999999997</v>
      </c>
      <c r="J128" s="142">
        <f t="shared" si="32"/>
        <v>9.4275000000000002</v>
      </c>
      <c r="K128" s="142">
        <f t="shared" si="32"/>
        <v>48.695</v>
      </c>
      <c r="L128" s="142">
        <f t="shared" si="32"/>
        <v>5.33</v>
      </c>
      <c r="M128" s="142">
        <f t="shared" si="32"/>
        <v>303.1275</v>
      </c>
      <c r="N128" s="142">
        <f t="shared" si="32"/>
        <v>44.1</v>
      </c>
      <c r="O128" s="142">
        <f t="shared" si="32"/>
        <v>56.519999999999996</v>
      </c>
      <c r="P128" s="142">
        <f t="shared" si="32"/>
        <v>16.824999999999999</v>
      </c>
      <c r="Q128" s="142">
        <f t="shared" si="32"/>
        <v>8.9050000000000011</v>
      </c>
      <c r="R128" s="142">
        <f t="shared" si="32"/>
        <v>0.82250000000000001</v>
      </c>
      <c r="S128" s="142">
        <f t="shared" si="32"/>
        <v>172.5975</v>
      </c>
      <c r="T128" s="142">
        <f t="shared" si="32"/>
        <v>21.102499999999999</v>
      </c>
      <c r="U128" s="142">
        <f t="shared" si="32"/>
        <v>14.442499999999999</v>
      </c>
      <c r="V128" s="142">
        <f t="shared" si="32"/>
        <v>4.18</v>
      </c>
    </row>
    <row r="129" spans="1:22" x14ac:dyDescent="0.15">
      <c r="A129">
        <v>4</v>
      </c>
      <c r="B129" s="9" t="s">
        <v>419</v>
      </c>
      <c r="C129" s="142">
        <f t="shared" si="31"/>
        <v>157.34</v>
      </c>
      <c r="D129" s="142">
        <f t="shared" si="32"/>
        <v>52.67</v>
      </c>
      <c r="E129" s="142">
        <f t="shared" si="32"/>
        <v>26.226666666666667</v>
      </c>
      <c r="F129" s="142">
        <f t="shared" si="32"/>
        <v>4.4833333333333334</v>
      </c>
      <c r="G129" s="142">
        <f t="shared" si="32"/>
        <v>24.456666666666667</v>
      </c>
      <c r="H129" s="142">
        <f t="shared" si="32"/>
        <v>5.3933333333333335</v>
      </c>
      <c r="I129" s="142">
        <f t="shared" si="32"/>
        <v>48.466666666666661</v>
      </c>
      <c r="J129" s="142">
        <f t="shared" si="32"/>
        <v>9.4366666666666674</v>
      </c>
      <c r="K129" s="142">
        <f t="shared" si="32"/>
        <v>48.72</v>
      </c>
      <c r="L129" s="142">
        <f t="shared" si="32"/>
        <v>5.34</v>
      </c>
      <c r="M129" s="142">
        <f t="shared" si="32"/>
        <v>303.19333333333333</v>
      </c>
      <c r="N129" s="142">
        <f t="shared" si="32"/>
        <v>44.31</v>
      </c>
      <c r="O129" s="142">
        <f t="shared" si="32"/>
        <v>56.449999999999996</v>
      </c>
      <c r="P129" s="142">
        <f t="shared" si="32"/>
        <v>16.843333333333334</v>
      </c>
      <c r="Q129" s="142">
        <f t="shared" si="32"/>
        <v>8.9066666666666663</v>
      </c>
      <c r="R129" s="142">
        <f t="shared" si="32"/>
        <v>0.83666666666666667</v>
      </c>
      <c r="S129" s="142">
        <f t="shared" si="32"/>
        <v>172.72</v>
      </c>
      <c r="T129" s="142">
        <f t="shared" si="32"/>
        <v>21.113333333333333</v>
      </c>
      <c r="U129" s="142">
        <f t="shared" si="32"/>
        <v>14.466666666666667</v>
      </c>
      <c r="V129" s="142">
        <f t="shared" si="32"/>
        <v>4.1866666666666665</v>
      </c>
    </row>
    <row r="130" spans="1:22" x14ac:dyDescent="0.15">
      <c r="A130">
        <v>5</v>
      </c>
      <c r="B130" s="9" t="s">
        <v>420</v>
      </c>
      <c r="C130" s="142">
        <f t="shared" si="31"/>
        <v>157.36250000000001</v>
      </c>
      <c r="D130" s="142">
        <f t="shared" si="32"/>
        <v>52.704999999999998</v>
      </c>
      <c r="E130" s="142">
        <f t="shared" si="32"/>
        <v>26.255833333333335</v>
      </c>
      <c r="F130" s="142">
        <f t="shared" si="32"/>
        <v>4.4866666666666664</v>
      </c>
      <c r="G130" s="142">
        <f t="shared" si="32"/>
        <v>24.498333333333331</v>
      </c>
      <c r="H130" s="142">
        <f t="shared" si="32"/>
        <v>5.4091666666666667</v>
      </c>
      <c r="I130" s="142">
        <f t="shared" si="32"/>
        <v>48.570833333333333</v>
      </c>
      <c r="J130" s="142">
        <f t="shared" si="32"/>
        <v>9.4458333333333329</v>
      </c>
      <c r="K130" s="142">
        <f t="shared" si="32"/>
        <v>48.744999999999997</v>
      </c>
      <c r="L130" s="142">
        <f t="shared" si="32"/>
        <v>5.35</v>
      </c>
      <c r="M130" s="142">
        <f t="shared" si="32"/>
        <v>303.25916666666666</v>
      </c>
      <c r="N130" s="142">
        <f t="shared" si="32"/>
        <v>44.52</v>
      </c>
      <c r="O130" s="142">
        <f t="shared" si="32"/>
        <v>56.379999999999995</v>
      </c>
      <c r="P130" s="142">
        <f t="shared" si="32"/>
        <v>16.861666666666665</v>
      </c>
      <c r="Q130" s="142">
        <f t="shared" si="32"/>
        <v>8.9083333333333332</v>
      </c>
      <c r="R130" s="142">
        <f t="shared" si="32"/>
        <v>0.85083333333333333</v>
      </c>
      <c r="S130" s="142">
        <f t="shared" si="32"/>
        <v>172.8425</v>
      </c>
      <c r="T130" s="142">
        <f t="shared" si="32"/>
        <v>21.124166666666667</v>
      </c>
      <c r="U130" s="142">
        <f t="shared" si="32"/>
        <v>14.490833333333333</v>
      </c>
      <c r="V130" s="142">
        <f t="shared" si="32"/>
        <v>4.1933333333333334</v>
      </c>
    </row>
    <row r="131" spans="1:22" x14ac:dyDescent="0.15">
      <c r="A131">
        <v>6</v>
      </c>
      <c r="B131" s="9" t="s">
        <v>421</v>
      </c>
      <c r="C131" s="142">
        <f t="shared" si="31"/>
        <v>157.38499999999999</v>
      </c>
      <c r="D131" s="142">
        <f t="shared" si="32"/>
        <v>52.74</v>
      </c>
      <c r="E131" s="142">
        <f t="shared" si="32"/>
        <v>26.285</v>
      </c>
      <c r="F131" s="142">
        <f t="shared" si="32"/>
        <v>4.49</v>
      </c>
      <c r="G131" s="142">
        <f t="shared" si="32"/>
        <v>24.54</v>
      </c>
      <c r="H131" s="142">
        <f t="shared" si="32"/>
        <v>5.4249999999999998</v>
      </c>
      <c r="I131" s="142">
        <f t="shared" si="32"/>
        <v>48.674999999999997</v>
      </c>
      <c r="J131" s="142">
        <f t="shared" si="32"/>
        <v>9.4550000000000001</v>
      </c>
      <c r="K131" s="142">
        <f t="shared" si="32"/>
        <v>48.769999999999996</v>
      </c>
      <c r="L131" s="142">
        <f t="shared" si="32"/>
        <v>5.3599999999999994</v>
      </c>
      <c r="M131" s="142">
        <f t="shared" si="32"/>
        <v>303.32500000000005</v>
      </c>
      <c r="N131" s="142">
        <f t="shared" si="32"/>
        <v>44.730000000000004</v>
      </c>
      <c r="O131" s="142">
        <f t="shared" si="32"/>
        <v>56.31</v>
      </c>
      <c r="P131" s="142">
        <f t="shared" si="32"/>
        <v>16.88</v>
      </c>
      <c r="Q131" s="142">
        <f t="shared" si="32"/>
        <v>8.91</v>
      </c>
      <c r="R131" s="142">
        <f t="shared" si="32"/>
        <v>0.86499999999999999</v>
      </c>
      <c r="S131" s="142">
        <f t="shared" si="32"/>
        <v>172.96499999999997</v>
      </c>
      <c r="T131" s="142">
        <f t="shared" si="32"/>
        <v>21.134999999999998</v>
      </c>
      <c r="U131" s="142">
        <f t="shared" si="32"/>
        <v>14.515000000000001</v>
      </c>
      <c r="V131" s="142">
        <f t="shared" si="32"/>
        <v>4.2</v>
      </c>
    </row>
    <row r="132" spans="1:22" x14ac:dyDescent="0.15">
      <c r="A132">
        <v>7</v>
      </c>
      <c r="B132" s="9" t="s">
        <v>422</v>
      </c>
      <c r="C132" s="142">
        <f t="shared" si="31"/>
        <v>157.4075</v>
      </c>
      <c r="D132" s="142">
        <f t="shared" si="32"/>
        <v>52.775000000000006</v>
      </c>
      <c r="E132" s="142">
        <f t="shared" si="32"/>
        <v>26.314166666666665</v>
      </c>
      <c r="F132" s="142">
        <f t="shared" si="32"/>
        <v>4.4933333333333332</v>
      </c>
      <c r="G132" s="142">
        <f t="shared" si="32"/>
        <v>24.581666666666667</v>
      </c>
      <c r="H132" s="142">
        <f t="shared" si="32"/>
        <v>5.440833333333333</v>
      </c>
      <c r="I132" s="142">
        <f t="shared" si="32"/>
        <v>48.779166666666661</v>
      </c>
      <c r="J132" s="142">
        <f t="shared" si="32"/>
        <v>9.4641666666666673</v>
      </c>
      <c r="K132" s="142">
        <f t="shared" si="32"/>
        <v>48.795000000000002</v>
      </c>
      <c r="L132" s="142">
        <f t="shared" si="32"/>
        <v>5.37</v>
      </c>
      <c r="M132" s="142">
        <f t="shared" si="32"/>
        <v>303.39083333333338</v>
      </c>
      <c r="N132" s="142">
        <f t="shared" si="32"/>
        <v>44.94</v>
      </c>
      <c r="O132" s="142">
        <f t="shared" si="32"/>
        <v>56.24</v>
      </c>
      <c r="P132" s="142">
        <f t="shared" si="32"/>
        <v>16.898333333333333</v>
      </c>
      <c r="Q132" s="142">
        <f t="shared" si="32"/>
        <v>8.9116666666666671</v>
      </c>
      <c r="R132" s="142">
        <f t="shared" si="32"/>
        <v>0.87916666666666665</v>
      </c>
      <c r="S132" s="142">
        <f t="shared" si="32"/>
        <v>173.08749999999998</v>
      </c>
      <c r="T132" s="142">
        <f t="shared" si="32"/>
        <v>21.145833333333332</v>
      </c>
      <c r="U132" s="142">
        <f t="shared" si="32"/>
        <v>14.539166666666667</v>
      </c>
      <c r="V132" s="142">
        <f t="shared" si="32"/>
        <v>4.206666666666667</v>
      </c>
    </row>
    <row r="133" spans="1:22" x14ac:dyDescent="0.15">
      <c r="A133">
        <v>8</v>
      </c>
      <c r="B133" s="9" t="s">
        <v>423</v>
      </c>
      <c r="C133" s="142">
        <f t="shared" si="31"/>
        <v>157.43</v>
      </c>
      <c r="D133" s="142">
        <f t="shared" si="32"/>
        <v>52.81</v>
      </c>
      <c r="E133" s="142">
        <f t="shared" si="32"/>
        <v>26.343333333333334</v>
      </c>
      <c r="F133" s="142">
        <f t="shared" si="32"/>
        <v>4.4966666666666661</v>
      </c>
      <c r="G133" s="142">
        <f t="shared" si="32"/>
        <v>24.623333333333331</v>
      </c>
      <c r="H133" s="142">
        <f t="shared" si="32"/>
        <v>5.4566666666666661</v>
      </c>
      <c r="I133" s="142">
        <f t="shared" si="32"/>
        <v>48.883333333333333</v>
      </c>
      <c r="J133" s="142">
        <f t="shared" si="32"/>
        <v>9.4733333333333327</v>
      </c>
      <c r="K133" s="142">
        <f t="shared" si="32"/>
        <v>48.82</v>
      </c>
      <c r="L133" s="142">
        <f t="shared" si="32"/>
        <v>5.38</v>
      </c>
      <c r="M133" s="142">
        <f t="shared" si="32"/>
        <v>303.45666666666671</v>
      </c>
      <c r="N133" s="142">
        <f t="shared" si="32"/>
        <v>45.15</v>
      </c>
      <c r="O133" s="142">
        <f t="shared" si="32"/>
        <v>56.17</v>
      </c>
      <c r="P133" s="142">
        <f t="shared" si="32"/>
        <v>16.916666666666664</v>
      </c>
      <c r="Q133" s="142">
        <f t="shared" si="32"/>
        <v>8.913333333333334</v>
      </c>
      <c r="R133" s="142">
        <f t="shared" si="32"/>
        <v>0.89333333333333331</v>
      </c>
      <c r="S133" s="142">
        <f t="shared" si="32"/>
        <v>173.20999999999998</v>
      </c>
      <c r="T133" s="142">
        <f t="shared" si="32"/>
        <v>21.156666666666666</v>
      </c>
      <c r="U133" s="142">
        <f t="shared" si="32"/>
        <v>14.563333333333333</v>
      </c>
      <c r="V133" s="142">
        <f t="shared" si="32"/>
        <v>4.2133333333333338</v>
      </c>
    </row>
    <row r="134" spans="1:22" x14ac:dyDescent="0.15">
      <c r="A134">
        <v>9</v>
      </c>
      <c r="B134" s="9" t="s">
        <v>424</v>
      </c>
      <c r="C134" s="142">
        <f t="shared" si="31"/>
        <v>157.45250000000001</v>
      </c>
      <c r="D134" s="142">
        <f t="shared" si="32"/>
        <v>52.844999999999999</v>
      </c>
      <c r="E134" s="142">
        <f t="shared" si="32"/>
        <v>26.372500000000002</v>
      </c>
      <c r="F134" s="142">
        <f t="shared" si="32"/>
        <v>4.5</v>
      </c>
      <c r="G134" s="142">
        <f t="shared" si="32"/>
        <v>24.664999999999999</v>
      </c>
      <c r="H134" s="142">
        <f t="shared" si="32"/>
        <v>5.4725000000000001</v>
      </c>
      <c r="I134" s="142">
        <f t="shared" si="32"/>
        <v>48.987499999999997</v>
      </c>
      <c r="J134" s="142">
        <f t="shared" si="32"/>
        <v>9.4824999999999999</v>
      </c>
      <c r="K134" s="142">
        <f t="shared" si="32"/>
        <v>48.844999999999999</v>
      </c>
      <c r="L134" s="142">
        <f t="shared" si="32"/>
        <v>5.39</v>
      </c>
      <c r="M134" s="142">
        <f t="shared" si="32"/>
        <v>303.52250000000004</v>
      </c>
      <c r="N134" s="142">
        <f t="shared" si="32"/>
        <v>45.36</v>
      </c>
      <c r="O134" s="142">
        <f t="shared" si="32"/>
        <v>56.1</v>
      </c>
      <c r="P134" s="142">
        <f t="shared" si="32"/>
        <v>16.934999999999999</v>
      </c>
      <c r="Q134" s="142">
        <f t="shared" si="32"/>
        <v>8.9149999999999991</v>
      </c>
      <c r="R134" s="142">
        <f t="shared" si="32"/>
        <v>0.90749999999999997</v>
      </c>
      <c r="S134" s="142">
        <f t="shared" si="32"/>
        <v>173.33249999999998</v>
      </c>
      <c r="T134" s="142">
        <f t="shared" si="32"/>
        <v>21.1675</v>
      </c>
      <c r="U134" s="142">
        <f t="shared" si="32"/>
        <v>14.5875</v>
      </c>
      <c r="V134" s="142">
        <f t="shared" si="32"/>
        <v>4.2200000000000006</v>
      </c>
    </row>
    <row r="135" spans="1:22" x14ac:dyDescent="0.15">
      <c r="A135">
        <v>10</v>
      </c>
      <c r="B135" s="9" t="s">
        <v>425</v>
      </c>
      <c r="C135" s="142">
        <f t="shared" si="31"/>
        <v>157.47500000000002</v>
      </c>
      <c r="D135" s="142">
        <f t="shared" si="32"/>
        <v>52.88</v>
      </c>
      <c r="E135" s="142">
        <f t="shared" si="32"/>
        <v>26.401666666666667</v>
      </c>
      <c r="F135" s="142">
        <f t="shared" si="32"/>
        <v>4.503333333333333</v>
      </c>
      <c r="G135" s="142">
        <f t="shared" si="32"/>
        <v>24.706666666666667</v>
      </c>
      <c r="H135" s="142">
        <f t="shared" si="32"/>
        <v>5.4883333333333333</v>
      </c>
      <c r="I135" s="142">
        <f t="shared" si="32"/>
        <v>49.091666666666661</v>
      </c>
      <c r="J135" s="142">
        <f t="shared" si="32"/>
        <v>9.4916666666666671</v>
      </c>
      <c r="K135" s="142">
        <f t="shared" si="32"/>
        <v>48.870000000000005</v>
      </c>
      <c r="L135" s="142">
        <f t="shared" si="32"/>
        <v>5.4</v>
      </c>
      <c r="M135" s="142">
        <f t="shared" si="32"/>
        <v>303.58833333333337</v>
      </c>
      <c r="N135" s="142">
        <f t="shared" si="32"/>
        <v>45.57</v>
      </c>
      <c r="O135" s="142">
        <f t="shared" si="32"/>
        <v>56.03</v>
      </c>
      <c r="P135" s="142">
        <f t="shared" si="32"/>
        <v>16.953333333333333</v>
      </c>
      <c r="Q135" s="142">
        <f t="shared" si="32"/>
        <v>8.9166666666666661</v>
      </c>
      <c r="R135" s="142">
        <f t="shared" si="32"/>
        <v>0.92166666666666663</v>
      </c>
      <c r="S135" s="142">
        <f t="shared" si="32"/>
        <v>173.45499999999998</v>
      </c>
      <c r="T135" s="142">
        <f t="shared" si="32"/>
        <v>21.178333333333335</v>
      </c>
      <c r="U135" s="142">
        <f t="shared" si="32"/>
        <v>14.611666666666666</v>
      </c>
      <c r="V135" s="142">
        <f t="shared" si="32"/>
        <v>4.2266666666666666</v>
      </c>
    </row>
    <row r="136" spans="1:22" x14ac:dyDescent="0.15">
      <c r="A136">
        <v>11</v>
      </c>
      <c r="B136" s="9" t="s">
        <v>426</v>
      </c>
      <c r="C136" s="142">
        <f t="shared" si="31"/>
        <v>157.4975</v>
      </c>
      <c r="D136" s="142">
        <f t="shared" si="32"/>
        <v>52.915000000000006</v>
      </c>
      <c r="E136" s="142">
        <f t="shared" si="32"/>
        <v>26.430833333333332</v>
      </c>
      <c r="F136" s="142">
        <f t="shared" si="32"/>
        <v>4.5066666666666668</v>
      </c>
      <c r="G136" s="142">
        <f t="shared" si="32"/>
        <v>24.748333333333331</v>
      </c>
      <c r="H136" s="142">
        <f t="shared" si="32"/>
        <v>5.5041666666666664</v>
      </c>
      <c r="I136" s="142">
        <f t="shared" si="32"/>
        <v>49.195833333333333</v>
      </c>
      <c r="J136" s="142">
        <f t="shared" si="32"/>
        <v>9.5008333333333326</v>
      </c>
      <c r="K136" s="142">
        <f t="shared" si="32"/>
        <v>48.895000000000003</v>
      </c>
      <c r="L136" s="142">
        <f t="shared" si="32"/>
        <v>5.41</v>
      </c>
      <c r="M136" s="142">
        <f t="shared" si="32"/>
        <v>303.6541666666667</v>
      </c>
      <c r="N136" s="142">
        <f t="shared" si="32"/>
        <v>45.78</v>
      </c>
      <c r="O136" s="142">
        <f t="shared" si="32"/>
        <v>55.96</v>
      </c>
      <c r="P136" s="142">
        <f t="shared" si="32"/>
        <v>16.971666666666664</v>
      </c>
      <c r="Q136" s="142">
        <f t="shared" si="32"/>
        <v>8.918333333333333</v>
      </c>
      <c r="R136" s="142">
        <f t="shared" si="32"/>
        <v>0.93583333333333329</v>
      </c>
      <c r="S136" s="142">
        <f t="shared" si="32"/>
        <v>173.57749999999999</v>
      </c>
      <c r="T136" s="142">
        <f t="shared" si="32"/>
        <v>21.189166666666665</v>
      </c>
      <c r="U136" s="142">
        <f t="shared" si="32"/>
        <v>14.635833333333334</v>
      </c>
      <c r="V136" s="142">
        <f t="shared" si="32"/>
        <v>4.2333333333333334</v>
      </c>
    </row>
    <row r="137" spans="1:22" x14ac:dyDescent="0.15">
      <c r="B137" s="9" t="s">
        <v>427</v>
      </c>
      <c r="C137" s="142">
        <f>熊本県基準値!B18</f>
        <v>157.52000000000001</v>
      </c>
      <c r="D137" s="142">
        <f>熊本県基準値!C18</f>
        <v>52.95</v>
      </c>
      <c r="E137" s="143">
        <f>熊本県基準値!D18</f>
        <v>26.46</v>
      </c>
      <c r="F137" s="143">
        <f>熊本県基準値!E18</f>
        <v>4.51</v>
      </c>
      <c r="G137" s="143">
        <f>熊本県基準値!F18</f>
        <v>24.79</v>
      </c>
      <c r="H137" s="143">
        <f>熊本県基準値!G18</f>
        <v>5.52</v>
      </c>
      <c r="I137" s="143">
        <f>熊本県基準値!H18</f>
        <v>49.3</v>
      </c>
      <c r="J137" s="143">
        <f>熊本県基準値!I18</f>
        <v>9.51</v>
      </c>
      <c r="K137" s="143">
        <f>熊本県基準値!J18</f>
        <v>48.92</v>
      </c>
      <c r="L137" s="143">
        <f>熊本県基準値!K18</f>
        <v>5.42</v>
      </c>
      <c r="M137" s="142">
        <f>熊本県基準値!L18</f>
        <v>303.72000000000003</v>
      </c>
      <c r="N137" s="142">
        <f>熊本県基準値!M18</f>
        <v>45.99</v>
      </c>
      <c r="O137" s="143">
        <f>熊本県基準値!N18</f>
        <v>55.89</v>
      </c>
      <c r="P137" s="143">
        <f>熊本県基準値!O18</f>
        <v>16.989999999999998</v>
      </c>
      <c r="Q137" s="143">
        <f>熊本県基準値!P18</f>
        <v>8.92</v>
      </c>
      <c r="R137" s="143">
        <f>熊本県基準値!Q18</f>
        <v>0.95</v>
      </c>
      <c r="S137" s="144">
        <f>熊本県基準値!R18</f>
        <v>173.7</v>
      </c>
      <c r="T137" s="144">
        <f>熊本県基準値!S18</f>
        <v>21.2</v>
      </c>
      <c r="U137" s="142">
        <f>熊本県基準値!T18</f>
        <v>14.66</v>
      </c>
      <c r="V137" s="142">
        <f>熊本県基準値!U18</f>
        <v>4.24</v>
      </c>
    </row>
    <row r="138" spans="1:22" x14ac:dyDescent="0.15">
      <c r="B138" s="9" t="s">
        <v>428</v>
      </c>
      <c r="C138" s="142">
        <f>C137+C137-C136</f>
        <v>157.54250000000002</v>
      </c>
      <c r="D138" s="142">
        <f t="shared" ref="D138:D148" si="34">D137+D137-D136</f>
        <v>52.984999999999999</v>
      </c>
      <c r="E138" s="142">
        <f t="shared" ref="E138:E148" si="35">E137+E137-E136</f>
        <v>26.489166666666669</v>
      </c>
      <c r="F138" s="142">
        <f t="shared" ref="F138:F148" si="36">F137+F137-F136</f>
        <v>4.5133333333333328</v>
      </c>
      <c r="G138" s="142">
        <f t="shared" ref="G138:G148" si="37">G137+G137-G136</f>
        <v>24.831666666666667</v>
      </c>
      <c r="H138" s="142">
        <f t="shared" ref="H138:H148" si="38">H137+H137-H136</f>
        <v>5.5358333333333327</v>
      </c>
      <c r="I138" s="142">
        <f t="shared" ref="I138:I148" si="39">I137+I137-I136</f>
        <v>49.404166666666661</v>
      </c>
      <c r="J138" s="142">
        <f t="shared" ref="J138:J148" si="40">J137+J137-J136</f>
        <v>9.519166666666667</v>
      </c>
      <c r="K138" s="142">
        <f t="shared" ref="K138:K148" si="41">K137+K137-K136</f>
        <v>48.945</v>
      </c>
      <c r="L138" s="142">
        <f t="shared" ref="L138:L148" si="42">L137+L137-L136</f>
        <v>5.43</v>
      </c>
      <c r="M138" s="142">
        <f t="shared" ref="M138:M148" si="43">M137+M137-M136</f>
        <v>303.78583333333336</v>
      </c>
      <c r="N138" s="142">
        <f t="shared" ref="N138:N148" si="44">N137+N137-N136</f>
        <v>46.2</v>
      </c>
      <c r="O138" s="142">
        <f t="shared" ref="O138:O148" si="45">O137+O137-O136</f>
        <v>55.82</v>
      </c>
      <c r="P138" s="142">
        <f t="shared" ref="P138:P148" si="46">P137+P137-P136</f>
        <v>17.008333333333333</v>
      </c>
      <c r="Q138" s="142">
        <f t="shared" ref="Q138:Q148" si="47">Q137+Q137-Q136</f>
        <v>8.9216666666666669</v>
      </c>
      <c r="R138" s="142">
        <f t="shared" ref="R138:R148" si="48">R137+R137-R136</f>
        <v>0.96416666666666662</v>
      </c>
      <c r="S138" s="142">
        <f t="shared" ref="S138:S148" si="49">S137+S137-S136</f>
        <v>173.82249999999999</v>
      </c>
      <c r="T138" s="142">
        <f t="shared" ref="T138:T148" si="50">T137+T137-T136</f>
        <v>21.210833333333333</v>
      </c>
      <c r="U138" s="142">
        <f t="shared" ref="U138:U148" si="51">U137+U137-U136</f>
        <v>14.684166666666666</v>
      </c>
      <c r="V138" s="142">
        <f t="shared" ref="V138:V148" si="52">V137+V137-V136</f>
        <v>4.246666666666667</v>
      </c>
    </row>
    <row r="139" spans="1:22" x14ac:dyDescent="0.15">
      <c r="B139" s="9" t="s">
        <v>429</v>
      </c>
      <c r="C139" s="142">
        <f t="shared" ref="C139:C148" si="53">C138+C138-C137</f>
        <v>157.56500000000003</v>
      </c>
      <c r="D139" s="142">
        <f t="shared" si="34"/>
        <v>53.019999999999996</v>
      </c>
      <c r="E139" s="142">
        <f t="shared" si="35"/>
        <v>26.518333333333338</v>
      </c>
      <c r="F139" s="142">
        <f t="shared" si="36"/>
        <v>4.5166666666666657</v>
      </c>
      <c r="G139" s="142">
        <f t="shared" si="37"/>
        <v>24.873333333333335</v>
      </c>
      <c r="H139" s="142">
        <f t="shared" si="38"/>
        <v>5.5516666666666659</v>
      </c>
      <c r="I139" s="142">
        <f t="shared" si="39"/>
        <v>49.508333333333326</v>
      </c>
      <c r="J139" s="142">
        <f t="shared" si="40"/>
        <v>9.5283333333333342</v>
      </c>
      <c r="K139" s="142">
        <f t="shared" si="41"/>
        <v>48.97</v>
      </c>
      <c r="L139" s="142">
        <f t="shared" si="42"/>
        <v>5.4399999999999995</v>
      </c>
      <c r="M139" s="142">
        <f t="shared" si="43"/>
        <v>303.85166666666669</v>
      </c>
      <c r="N139" s="142">
        <f t="shared" si="44"/>
        <v>46.410000000000004</v>
      </c>
      <c r="O139" s="142">
        <f t="shared" si="45"/>
        <v>55.75</v>
      </c>
      <c r="P139" s="142">
        <f t="shared" si="46"/>
        <v>17.026666666666667</v>
      </c>
      <c r="Q139" s="142">
        <f t="shared" si="47"/>
        <v>8.9233333333333338</v>
      </c>
      <c r="R139" s="142">
        <f t="shared" si="48"/>
        <v>0.97833333333333328</v>
      </c>
      <c r="S139" s="142">
        <f t="shared" si="49"/>
        <v>173.94499999999999</v>
      </c>
      <c r="T139" s="142">
        <f t="shared" si="50"/>
        <v>21.221666666666668</v>
      </c>
      <c r="U139" s="142">
        <f t="shared" si="51"/>
        <v>14.708333333333332</v>
      </c>
      <c r="V139" s="142">
        <f t="shared" si="52"/>
        <v>4.2533333333333339</v>
      </c>
    </row>
    <row r="140" spans="1:22" x14ac:dyDescent="0.15">
      <c r="B140" s="9" t="s">
        <v>430</v>
      </c>
      <c r="C140" s="142">
        <f t="shared" si="53"/>
        <v>157.58750000000003</v>
      </c>
      <c r="D140" s="142">
        <f t="shared" si="34"/>
        <v>53.054999999999993</v>
      </c>
      <c r="E140" s="142">
        <f t="shared" si="35"/>
        <v>26.547500000000007</v>
      </c>
      <c r="F140" s="142">
        <f t="shared" si="36"/>
        <v>4.5199999999999987</v>
      </c>
      <c r="G140" s="142">
        <f t="shared" si="37"/>
        <v>24.915000000000003</v>
      </c>
      <c r="H140" s="142">
        <f t="shared" si="38"/>
        <v>5.567499999999999</v>
      </c>
      <c r="I140" s="142">
        <f t="shared" si="39"/>
        <v>49.61249999999999</v>
      </c>
      <c r="J140" s="142">
        <f t="shared" si="40"/>
        <v>9.5375000000000014</v>
      </c>
      <c r="K140" s="142">
        <f t="shared" si="41"/>
        <v>48.994999999999997</v>
      </c>
      <c r="L140" s="142">
        <f t="shared" si="42"/>
        <v>5.4499999999999993</v>
      </c>
      <c r="M140" s="142">
        <f t="shared" si="43"/>
        <v>303.91750000000002</v>
      </c>
      <c r="N140" s="142">
        <f t="shared" si="44"/>
        <v>46.620000000000005</v>
      </c>
      <c r="O140" s="142">
        <f t="shared" si="45"/>
        <v>55.68</v>
      </c>
      <c r="P140" s="142">
        <f t="shared" si="46"/>
        <v>17.045000000000002</v>
      </c>
      <c r="Q140" s="142">
        <f t="shared" si="47"/>
        <v>8.9250000000000007</v>
      </c>
      <c r="R140" s="142">
        <f t="shared" si="48"/>
        <v>0.99249999999999994</v>
      </c>
      <c r="S140" s="142">
        <f t="shared" si="49"/>
        <v>174.0675</v>
      </c>
      <c r="T140" s="142">
        <f t="shared" si="50"/>
        <v>21.232500000000002</v>
      </c>
      <c r="U140" s="142">
        <f t="shared" si="51"/>
        <v>14.732499999999998</v>
      </c>
      <c r="V140" s="142">
        <f t="shared" si="52"/>
        <v>4.2600000000000007</v>
      </c>
    </row>
    <row r="141" spans="1:22" x14ac:dyDescent="0.15">
      <c r="B141" s="9" t="s">
        <v>431</v>
      </c>
      <c r="C141" s="142">
        <f t="shared" si="53"/>
        <v>157.61000000000004</v>
      </c>
      <c r="D141" s="142">
        <f t="shared" si="34"/>
        <v>53.089999999999989</v>
      </c>
      <c r="E141" s="142">
        <f t="shared" si="35"/>
        <v>26.576666666666675</v>
      </c>
      <c r="F141" s="142">
        <f t="shared" si="36"/>
        <v>4.5233333333333317</v>
      </c>
      <c r="G141" s="142">
        <f t="shared" si="37"/>
        <v>24.956666666666671</v>
      </c>
      <c r="H141" s="142">
        <f t="shared" si="38"/>
        <v>5.5833333333333321</v>
      </c>
      <c r="I141" s="142">
        <f t="shared" si="39"/>
        <v>49.716666666666654</v>
      </c>
      <c r="J141" s="142">
        <f t="shared" si="40"/>
        <v>9.5466666666666686</v>
      </c>
      <c r="K141" s="142">
        <f t="shared" si="41"/>
        <v>49.019999999999996</v>
      </c>
      <c r="L141" s="142">
        <f t="shared" si="42"/>
        <v>5.4599999999999991</v>
      </c>
      <c r="M141" s="142">
        <f t="shared" si="43"/>
        <v>303.98333333333335</v>
      </c>
      <c r="N141" s="142">
        <f t="shared" si="44"/>
        <v>46.830000000000005</v>
      </c>
      <c r="O141" s="142">
        <f t="shared" si="45"/>
        <v>55.61</v>
      </c>
      <c r="P141" s="142">
        <f t="shared" si="46"/>
        <v>17.063333333333336</v>
      </c>
      <c r="Q141" s="142">
        <f t="shared" si="47"/>
        <v>8.9266666666666676</v>
      </c>
      <c r="R141" s="142">
        <f t="shared" si="48"/>
        <v>1.0066666666666666</v>
      </c>
      <c r="S141" s="142">
        <f t="shared" si="49"/>
        <v>174.19</v>
      </c>
      <c r="T141" s="142">
        <f t="shared" si="50"/>
        <v>21.243333333333336</v>
      </c>
      <c r="U141" s="142">
        <f t="shared" si="51"/>
        <v>14.756666666666664</v>
      </c>
      <c r="V141" s="142">
        <f t="shared" si="52"/>
        <v>4.2666666666666675</v>
      </c>
    </row>
    <row r="142" spans="1:22" x14ac:dyDescent="0.15">
      <c r="B142" s="9" t="s">
        <v>432</v>
      </c>
      <c r="C142" s="142">
        <f t="shared" si="53"/>
        <v>157.63250000000005</v>
      </c>
      <c r="D142" s="142">
        <f t="shared" si="34"/>
        <v>53.124999999999986</v>
      </c>
      <c r="E142" s="142">
        <f t="shared" si="35"/>
        <v>26.605833333333344</v>
      </c>
      <c r="F142" s="142">
        <f t="shared" si="36"/>
        <v>4.5266666666666646</v>
      </c>
      <c r="G142" s="142">
        <f t="shared" si="37"/>
        <v>24.998333333333338</v>
      </c>
      <c r="H142" s="142">
        <f t="shared" si="38"/>
        <v>5.5991666666666653</v>
      </c>
      <c r="I142" s="142">
        <f t="shared" si="39"/>
        <v>49.820833333333319</v>
      </c>
      <c r="J142" s="142">
        <f t="shared" si="40"/>
        <v>9.5558333333333358</v>
      </c>
      <c r="K142" s="142">
        <f t="shared" si="41"/>
        <v>49.044999999999995</v>
      </c>
      <c r="L142" s="142">
        <f t="shared" si="42"/>
        <v>5.4699999999999989</v>
      </c>
      <c r="M142" s="142">
        <f t="shared" si="43"/>
        <v>304.04916666666668</v>
      </c>
      <c r="N142" s="142">
        <f t="shared" si="44"/>
        <v>47.040000000000006</v>
      </c>
      <c r="O142" s="142">
        <f t="shared" si="45"/>
        <v>55.54</v>
      </c>
      <c r="P142" s="142">
        <f t="shared" si="46"/>
        <v>17.081666666666671</v>
      </c>
      <c r="Q142" s="142">
        <f t="shared" si="47"/>
        <v>8.9283333333333346</v>
      </c>
      <c r="R142" s="142">
        <f t="shared" si="48"/>
        <v>1.0208333333333333</v>
      </c>
      <c r="S142" s="142">
        <f t="shared" si="49"/>
        <v>174.3125</v>
      </c>
      <c r="T142" s="142">
        <f t="shared" si="50"/>
        <v>21.25416666666667</v>
      </c>
      <c r="U142" s="142">
        <f t="shared" si="51"/>
        <v>14.78083333333333</v>
      </c>
      <c r="V142" s="142">
        <f t="shared" si="52"/>
        <v>4.2733333333333343</v>
      </c>
    </row>
    <row r="143" spans="1:22" x14ac:dyDescent="0.15">
      <c r="B143" s="9" t="s">
        <v>433</v>
      </c>
      <c r="C143" s="142">
        <f t="shared" si="53"/>
        <v>157.65500000000006</v>
      </c>
      <c r="D143" s="142">
        <f t="shared" si="34"/>
        <v>53.159999999999982</v>
      </c>
      <c r="E143" s="142">
        <f t="shared" si="35"/>
        <v>26.635000000000012</v>
      </c>
      <c r="F143" s="142">
        <f t="shared" si="36"/>
        <v>4.5299999999999976</v>
      </c>
      <c r="G143" s="142">
        <f t="shared" si="37"/>
        <v>25.040000000000006</v>
      </c>
      <c r="H143" s="142">
        <f t="shared" si="38"/>
        <v>5.6149999999999984</v>
      </c>
      <c r="I143" s="142">
        <f t="shared" si="39"/>
        <v>49.924999999999983</v>
      </c>
      <c r="J143" s="142">
        <f t="shared" si="40"/>
        <v>9.5650000000000031</v>
      </c>
      <c r="K143" s="142">
        <f t="shared" si="41"/>
        <v>49.069999999999993</v>
      </c>
      <c r="L143" s="142">
        <f t="shared" si="42"/>
        <v>5.4799999999999986</v>
      </c>
      <c r="M143" s="142">
        <f t="shared" si="43"/>
        <v>304.11500000000001</v>
      </c>
      <c r="N143" s="142">
        <f t="shared" si="44"/>
        <v>47.250000000000007</v>
      </c>
      <c r="O143" s="142">
        <f t="shared" si="45"/>
        <v>55.47</v>
      </c>
      <c r="P143" s="142">
        <f t="shared" si="46"/>
        <v>17.100000000000005</v>
      </c>
      <c r="Q143" s="142">
        <f t="shared" si="47"/>
        <v>8.9300000000000015</v>
      </c>
      <c r="R143" s="142">
        <f t="shared" si="48"/>
        <v>1.0349999999999999</v>
      </c>
      <c r="S143" s="142">
        <f t="shared" si="49"/>
        <v>174.435</v>
      </c>
      <c r="T143" s="142">
        <f t="shared" si="50"/>
        <v>21.265000000000004</v>
      </c>
      <c r="U143" s="142">
        <f t="shared" si="51"/>
        <v>14.804999999999996</v>
      </c>
      <c r="V143" s="142">
        <f t="shared" si="52"/>
        <v>4.2800000000000011</v>
      </c>
    </row>
    <row r="144" spans="1:22" x14ac:dyDescent="0.15">
      <c r="B144" s="9" t="s">
        <v>434</v>
      </c>
      <c r="C144" s="142">
        <f t="shared" si="53"/>
        <v>157.67750000000007</v>
      </c>
      <c r="D144" s="142">
        <f t="shared" si="34"/>
        <v>53.194999999999979</v>
      </c>
      <c r="E144" s="142">
        <f t="shared" si="35"/>
        <v>26.664166666666681</v>
      </c>
      <c r="F144" s="142">
        <f t="shared" si="36"/>
        <v>4.5333333333333306</v>
      </c>
      <c r="G144" s="142">
        <f t="shared" si="37"/>
        <v>25.081666666666674</v>
      </c>
      <c r="H144" s="142">
        <f t="shared" si="38"/>
        <v>5.6308333333333316</v>
      </c>
      <c r="I144" s="142">
        <f t="shared" si="39"/>
        <v>50.029166666666647</v>
      </c>
      <c r="J144" s="142">
        <f t="shared" si="40"/>
        <v>9.5741666666666703</v>
      </c>
      <c r="K144" s="142">
        <f t="shared" si="41"/>
        <v>49.094999999999992</v>
      </c>
      <c r="L144" s="142">
        <f t="shared" si="42"/>
        <v>5.4899999999999984</v>
      </c>
      <c r="M144" s="142">
        <f t="shared" si="43"/>
        <v>304.18083333333334</v>
      </c>
      <c r="N144" s="142">
        <f t="shared" si="44"/>
        <v>47.460000000000008</v>
      </c>
      <c r="O144" s="142">
        <f t="shared" si="45"/>
        <v>55.4</v>
      </c>
      <c r="P144" s="142">
        <f t="shared" si="46"/>
        <v>17.118333333333339</v>
      </c>
      <c r="Q144" s="142">
        <f t="shared" si="47"/>
        <v>8.9316666666666684</v>
      </c>
      <c r="R144" s="142">
        <f t="shared" si="48"/>
        <v>1.0491666666666666</v>
      </c>
      <c r="S144" s="142">
        <f t="shared" si="49"/>
        <v>174.5575</v>
      </c>
      <c r="T144" s="142">
        <f t="shared" si="50"/>
        <v>21.275833333333338</v>
      </c>
      <c r="U144" s="142">
        <f t="shared" si="51"/>
        <v>14.829166666666662</v>
      </c>
      <c r="V144" s="142">
        <f t="shared" si="52"/>
        <v>4.286666666666668</v>
      </c>
    </row>
    <row r="145" spans="2:22" x14ac:dyDescent="0.15">
      <c r="B145" s="9" t="s">
        <v>435</v>
      </c>
      <c r="C145" s="142">
        <f t="shared" si="53"/>
        <v>157.70000000000007</v>
      </c>
      <c r="D145" s="142">
        <f t="shared" si="34"/>
        <v>53.229999999999976</v>
      </c>
      <c r="E145" s="142">
        <f t="shared" si="35"/>
        <v>26.693333333333349</v>
      </c>
      <c r="F145" s="142">
        <f t="shared" si="36"/>
        <v>4.5366666666666635</v>
      </c>
      <c r="G145" s="142">
        <f t="shared" si="37"/>
        <v>25.123333333333342</v>
      </c>
      <c r="H145" s="142">
        <f t="shared" si="38"/>
        <v>5.6466666666666647</v>
      </c>
      <c r="I145" s="142">
        <f t="shared" si="39"/>
        <v>50.133333333333312</v>
      </c>
      <c r="J145" s="142">
        <f t="shared" si="40"/>
        <v>9.5833333333333375</v>
      </c>
      <c r="K145" s="142">
        <f t="shared" si="41"/>
        <v>49.11999999999999</v>
      </c>
      <c r="L145" s="142">
        <f t="shared" si="42"/>
        <v>5.4999999999999982</v>
      </c>
      <c r="M145" s="142">
        <f t="shared" si="43"/>
        <v>304.24666666666667</v>
      </c>
      <c r="N145" s="142">
        <f t="shared" si="44"/>
        <v>47.670000000000009</v>
      </c>
      <c r="O145" s="142">
        <f t="shared" si="45"/>
        <v>55.33</v>
      </c>
      <c r="P145" s="142">
        <f t="shared" si="46"/>
        <v>17.136666666666674</v>
      </c>
      <c r="Q145" s="142">
        <f t="shared" si="47"/>
        <v>8.9333333333333353</v>
      </c>
      <c r="R145" s="142">
        <f t="shared" si="48"/>
        <v>1.0633333333333332</v>
      </c>
      <c r="S145" s="142">
        <f t="shared" si="49"/>
        <v>174.68</v>
      </c>
      <c r="T145" s="142">
        <f t="shared" si="50"/>
        <v>21.286666666666672</v>
      </c>
      <c r="U145" s="142">
        <f t="shared" si="51"/>
        <v>14.853333333333328</v>
      </c>
      <c r="V145" s="142">
        <f t="shared" si="52"/>
        <v>4.2933333333333348</v>
      </c>
    </row>
    <row r="146" spans="2:22" x14ac:dyDescent="0.15">
      <c r="B146" s="9" t="s">
        <v>436</v>
      </c>
      <c r="C146" s="142">
        <f t="shared" si="53"/>
        <v>157.72250000000008</v>
      </c>
      <c r="D146" s="142">
        <f t="shared" si="34"/>
        <v>53.264999999999972</v>
      </c>
      <c r="E146" s="142">
        <f t="shared" si="35"/>
        <v>26.722500000000018</v>
      </c>
      <c r="F146" s="142">
        <f t="shared" si="36"/>
        <v>4.5399999999999965</v>
      </c>
      <c r="G146" s="142">
        <f t="shared" si="37"/>
        <v>25.16500000000001</v>
      </c>
      <c r="H146" s="142">
        <f t="shared" si="38"/>
        <v>5.6624999999999979</v>
      </c>
      <c r="I146" s="142">
        <f t="shared" si="39"/>
        <v>50.237499999999976</v>
      </c>
      <c r="J146" s="142">
        <f t="shared" si="40"/>
        <v>9.5925000000000047</v>
      </c>
      <c r="K146" s="142">
        <f t="shared" si="41"/>
        <v>49.144999999999989</v>
      </c>
      <c r="L146" s="142">
        <f t="shared" si="42"/>
        <v>5.509999999999998</v>
      </c>
      <c r="M146" s="142">
        <f t="shared" si="43"/>
        <v>304.3125</v>
      </c>
      <c r="N146" s="142">
        <f t="shared" si="44"/>
        <v>47.88000000000001</v>
      </c>
      <c r="O146" s="142">
        <f t="shared" si="45"/>
        <v>55.26</v>
      </c>
      <c r="P146" s="142">
        <f t="shared" si="46"/>
        <v>17.155000000000008</v>
      </c>
      <c r="Q146" s="142">
        <f t="shared" si="47"/>
        <v>8.9350000000000023</v>
      </c>
      <c r="R146" s="142">
        <f t="shared" si="48"/>
        <v>1.0774999999999999</v>
      </c>
      <c r="S146" s="142">
        <f t="shared" si="49"/>
        <v>174.80250000000001</v>
      </c>
      <c r="T146" s="142">
        <f t="shared" si="50"/>
        <v>21.297500000000007</v>
      </c>
      <c r="U146" s="142">
        <f t="shared" si="51"/>
        <v>14.877499999999994</v>
      </c>
      <c r="V146" s="142">
        <f t="shared" si="52"/>
        <v>4.3000000000000016</v>
      </c>
    </row>
    <row r="147" spans="2:22" x14ac:dyDescent="0.15">
      <c r="B147" s="9" t="s">
        <v>437</v>
      </c>
      <c r="C147" s="142">
        <f t="shared" si="53"/>
        <v>157.74500000000009</v>
      </c>
      <c r="D147" s="142">
        <f t="shared" si="34"/>
        <v>53.299999999999969</v>
      </c>
      <c r="E147" s="142">
        <f t="shared" si="35"/>
        <v>26.751666666666686</v>
      </c>
      <c r="F147" s="142">
        <f t="shared" si="36"/>
        <v>4.5433333333333294</v>
      </c>
      <c r="G147" s="142">
        <f t="shared" si="37"/>
        <v>25.206666666666678</v>
      </c>
      <c r="H147" s="142">
        <f t="shared" si="38"/>
        <v>5.678333333333331</v>
      </c>
      <c r="I147" s="142">
        <f t="shared" si="39"/>
        <v>50.34166666666664</v>
      </c>
      <c r="J147" s="142">
        <f t="shared" si="40"/>
        <v>9.6016666666666719</v>
      </c>
      <c r="K147" s="142">
        <f t="shared" si="41"/>
        <v>49.169999999999987</v>
      </c>
      <c r="L147" s="142">
        <f t="shared" si="42"/>
        <v>5.5199999999999978</v>
      </c>
      <c r="M147" s="142">
        <f t="shared" si="43"/>
        <v>304.37833333333333</v>
      </c>
      <c r="N147" s="142">
        <f t="shared" si="44"/>
        <v>48.090000000000011</v>
      </c>
      <c r="O147" s="142">
        <f t="shared" si="45"/>
        <v>55.19</v>
      </c>
      <c r="P147" s="142">
        <f t="shared" si="46"/>
        <v>17.173333333333343</v>
      </c>
      <c r="Q147" s="142">
        <f t="shared" si="47"/>
        <v>8.9366666666666692</v>
      </c>
      <c r="R147" s="142">
        <f t="shared" si="48"/>
        <v>1.0916666666666666</v>
      </c>
      <c r="S147" s="142">
        <f t="shared" si="49"/>
        <v>174.92500000000001</v>
      </c>
      <c r="T147" s="142">
        <f t="shared" si="50"/>
        <v>21.308333333333341</v>
      </c>
      <c r="U147" s="142">
        <f t="shared" si="51"/>
        <v>14.90166666666666</v>
      </c>
      <c r="V147" s="142">
        <f t="shared" si="52"/>
        <v>4.3066666666666684</v>
      </c>
    </row>
    <row r="148" spans="2:22" x14ac:dyDescent="0.15">
      <c r="B148" s="9" t="s">
        <v>438</v>
      </c>
      <c r="C148" s="142">
        <f t="shared" si="53"/>
        <v>157.7675000000001</v>
      </c>
      <c r="D148" s="142">
        <f t="shared" si="34"/>
        <v>53.334999999999965</v>
      </c>
      <c r="E148" s="142">
        <f t="shared" si="35"/>
        <v>26.780833333333355</v>
      </c>
      <c r="F148" s="142">
        <f t="shared" si="36"/>
        <v>4.5466666666666624</v>
      </c>
      <c r="G148" s="142">
        <f t="shared" si="37"/>
        <v>25.248333333333346</v>
      </c>
      <c r="H148" s="142">
        <f t="shared" si="38"/>
        <v>5.6941666666666642</v>
      </c>
      <c r="I148" s="142">
        <f t="shared" si="39"/>
        <v>50.445833333333304</v>
      </c>
      <c r="J148" s="142">
        <f t="shared" si="40"/>
        <v>9.6108333333333391</v>
      </c>
      <c r="K148" s="142">
        <f t="shared" si="41"/>
        <v>49.194999999999986</v>
      </c>
      <c r="L148" s="142">
        <f t="shared" si="42"/>
        <v>5.5299999999999976</v>
      </c>
      <c r="M148" s="142">
        <f t="shared" si="43"/>
        <v>304.44416666666666</v>
      </c>
      <c r="N148" s="142">
        <f t="shared" si="44"/>
        <v>48.300000000000011</v>
      </c>
      <c r="O148" s="142">
        <f t="shared" si="45"/>
        <v>55.12</v>
      </c>
      <c r="P148" s="142">
        <f t="shared" si="46"/>
        <v>17.191666666666677</v>
      </c>
      <c r="Q148" s="142">
        <f t="shared" si="47"/>
        <v>8.9383333333333361</v>
      </c>
      <c r="R148" s="142">
        <f t="shared" si="48"/>
        <v>1.1058333333333332</v>
      </c>
      <c r="S148" s="142">
        <f t="shared" si="49"/>
        <v>175.04750000000001</v>
      </c>
      <c r="T148" s="142">
        <f t="shared" si="50"/>
        <v>21.319166666666675</v>
      </c>
      <c r="U148" s="142">
        <f t="shared" si="51"/>
        <v>14.925833333333326</v>
      </c>
      <c r="V148" s="142">
        <f t="shared" si="52"/>
        <v>4.3133333333333352</v>
      </c>
    </row>
  </sheetData>
  <mergeCells count="9">
    <mergeCell ref="E2:F2"/>
    <mergeCell ref="G2:H2"/>
    <mergeCell ref="I2:J2"/>
    <mergeCell ref="K2:L2"/>
    <mergeCell ref="U2:V2"/>
    <mergeCell ref="M2:N2"/>
    <mergeCell ref="O2:P2"/>
    <mergeCell ref="Q2:R2"/>
    <mergeCell ref="S2:T2"/>
  </mergeCells>
  <phoneticPr fontId="4"/>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38"/>
  <sheetViews>
    <sheetView zoomScaleNormal="100" workbookViewId="0">
      <selection activeCell="V2" sqref="V2"/>
    </sheetView>
  </sheetViews>
  <sheetFormatPr defaultRowHeight="13.5" x14ac:dyDescent="0.15"/>
  <cols>
    <col min="1" max="1" width="3" customWidth="1"/>
    <col min="2" max="2" width="6.375" customWidth="1"/>
    <col min="3" max="3" width="3.875" customWidth="1"/>
    <col min="4" max="4" width="6.375" customWidth="1"/>
    <col min="5" max="5" width="3.875" customWidth="1"/>
    <col min="6" max="6" width="6.375" customWidth="1"/>
    <col min="7" max="7" width="3.875" customWidth="1"/>
    <col min="8" max="8" width="6.375" customWidth="1"/>
    <col min="9" max="9" width="3.875" customWidth="1"/>
    <col min="10" max="10" width="6.375" customWidth="1"/>
    <col min="11" max="11" width="3.875" customWidth="1"/>
    <col min="12" max="12" width="6.625" customWidth="1"/>
    <col min="13" max="13" width="3.875" customWidth="1"/>
    <col min="14" max="14" width="6.375" customWidth="1"/>
    <col min="15" max="15" width="3.875" customWidth="1"/>
    <col min="16" max="16" width="6.375" customWidth="1"/>
    <col min="17" max="17" width="3.875" customWidth="1"/>
    <col min="18" max="18" width="6.375" customWidth="1"/>
    <col min="19" max="19" width="3.875" customWidth="1"/>
    <col min="22" max="22" width="5" customWidth="1"/>
    <col min="23" max="27" width="7.5" customWidth="1"/>
    <col min="28" max="28" width="7.75" customWidth="1"/>
  </cols>
  <sheetData>
    <row r="1" spans="1:26" ht="14.25" x14ac:dyDescent="0.15">
      <c r="A1" s="15" t="s">
        <v>34</v>
      </c>
      <c r="B1" s="260" t="s">
        <v>0</v>
      </c>
      <c r="C1" s="260"/>
      <c r="D1" s="260" t="s">
        <v>1</v>
      </c>
      <c r="E1" s="260"/>
      <c r="F1" s="260" t="s">
        <v>16</v>
      </c>
      <c r="G1" s="260"/>
      <c r="H1" s="260" t="s">
        <v>2</v>
      </c>
      <c r="I1" s="260"/>
      <c r="J1" s="260" t="s">
        <v>3</v>
      </c>
      <c r="K1" s="260"/>
      <c r="L1" s="260" t="s">
        <v>9</v>
      </c>
      <c r="M1" s="260"/>
      <c r="N1" s="260" t="s">
        <v>4</v>
      </c>
      <c r="O1" s="260"/>
      <c r="P1" s="260" t="s">
        <v>5</v>
      </c>
      <c r="Q1" s="260"/>
      <c r="R1" s="260" t="s">
        <v>6</v>
      </c>
      <c r="S1" s="260"/>
      <c r="W1" t="s">
        <v>51</v>
      </c>
      <c r="X1" t="s">
        <v>54</v>
      </c>
      <c r="Y1" t="s">
        <v>53</v>
      </c>
      <c r="Z1" t="s">
        <v>52</v>
      </c>
    </row>
    <row r="2" spans="1:26" ht="13.5" customHeight="1" x14ac:dyDescent="0.15">
      <c r="A2" s="15"/>
      <c r="B2" s="17">
        <v>1</v>
      </c>
      <c r="C2" s="17">
        <v>1</v>
      </c>
      <c r="D2" s="17">
        <v>1</v>
      </c>
      <c r="E2" s="17">
        <v>1</v>
      </c>
      <c r="F2" s="17">
        <v>1</v>
      </c>
      <c r="G2" s="17">
        <v>1</v>
      </c>
      <c r="H2" s="17">
        <v>1</v>
      </c>
      <c r="I2" s="17">
        <v>1</v>
      </c>
      <c r="J2" s="17">
        <v>1</v>
      </c>
      <c r="K2" s="17">
        <v>10</v>
      </c>
      <c r="L2" s="17">
        <v>1</v>
      </c>
      <c r="M2" s="17">
        <v>1</v>
      </c>
      <c r="N2" s="17">
        <v>1</v>
      </c>
      <c r="O2" s="17">
        <v>10</v>
      </c>
      <c r="P2" s="17">
        <v>1</v>
      </c>
      <c r="Q2" s="17">
        <v>1</v>
      </c>
      <c r="R2" s="17">
        <v>1</v>
      </c>
      <c r="S2" s="17">
        <v>1</v>
      </c>
      <c r="U2" t="s">
        <v>45</v>
      </c>
      <c r="V2" t="s">
        <v>74</v>
      </c>
      <c r="W2">
        <v>51</v>
      </c>
      <c r="X2">
        <v>41</v>
      </c>
      <c r="Y2">
        <v>32</v>
      </c>
      <c r="Z2">
        <v>22</v>
      </c>
    </row>
    <row r="3" spans="1:26" ht="13.5" customHeight="1" x14ac:dyDescent="0.15">
      <c r="A3" s="15" t="s">
        <v>35</v>
      </c>
      <c r="B3" s="17">
        <v>17</v>
      </c>
      <c r="C3" s="17">
        <v>1</v>
      </c>
      <c r="D3" s="17">
        <v>12</v>
      </c>
      <c r="E3" s="17">
        <v>1</v>
      </c>
      <c r="F3" s="17">
        <v>20</v>
      </c>
      <c r="G3" s="17">
        <v>1</v>
      </c>
      <c r="H3" s="17">
        <v>29</v>
      </c>
      <c r="I3" s="17">
        <v>1</v>
      </c>
      <c r="J3" s="17">
        <v>299</v>
      </c>
      <c r="K3" s="17">
        <v>10</v>
      </c>
      <c r="L3" s="17">
        <v>25</v>
      </c>
      <c r="M3" s="17">
        <v>1</v>
      </c>
      <c r="N3" s="17">
        <v>6.61</v>
      </c>
      <c r="O3" s="17">
        <v>9</v>
      </c>
      <c r="P3" s="17">
        <v>149</v>
      </c>
      <c r="Q3" s="17">
        <v>1</v>
      </c>
      <c r="R3" s="17">
        <v>12</v>
      </c>
      <c r="S3" s="17">
        <v>1</v>
      </c>
      <c r="U3" t="s">
        <v>46</v>
      </c>
      <c r="V3" t="s">
        <v>80</v>
      </c>
      <c r="W3">
        <v>57</v>
      </c>
      <c r="X3">
        <v>47</v>
      </c>
      <c r="Y3">
        <v>37</v>
      </c>
      <c r="Z3">
        <v>27</v>
      </c>
    </row>
    <row r="4" spans="1:26" ht="13.5" customHeight="1" x14ac:dyDescent="0.15">
      <c r="A4" s="15"/>
      <c r="B4" s="17">
        <v>18</v>
      </c>
      <c r="C4" s="17">
        <v>2</v>
      </c>
      <c r="D4" s="17">
        <v>13</v>
      </c>
      <c r="E4" s="17">
        <v>2</v>
      </c>
      <c r="F4" s="17">
        <v>21</v>
      </c>
      <c r="G4" s="17">
        <v>2</v>
      </c>
      <c r="H4" s="17">
        <v>30</v>
      </c>
      <c r="I4" s="17">
        <v>2</v>
      </c>
      <c r="J4" s="17">
        <v>300</v>
      </c>
      <c r="K4" s="17">
        <v>9</v>
      </c>
      <c r="L4" s="17">
        <v>26</v>
      </c>
      <c r="M4" s="17">
        <v>2</v>
      </c>
      <c r="N4" s="17">
        <v>6.81</v>
      </c>
      <c r="O4" s="17">
        <v>8</v>
      </c>
      <c r="P4" s="17">
        <v>150</v>
      </c>
      <c r="Q4" s="17">
        <v>2</v>
      </c>
      <c r="R4" s="17">
        <v>13</v>
      </c>
      <c r="S4" s="17">
        <v>2</v>
      </c>
      <c r="U4" t="s">
        <v>47</v>
      </c>
      <c r="V4" t="s">
        <v>81</v>
      </c>
      <c r="W4">
        <v>60</v>
      </c>
      <c r="X4">
        <v>51</v>
      </c>
      <c r="Y4">
        <v>41</v>
      </c>
      <c r="Z4">
        <v>31</v>
      </c>
    </row>
    <row r="5" spans="1:26" ht="13.5" customHeight="1" x14ac:dyDescent="0.15">
      <c r="A5" s="17"/>
      <c r="B5" s="17">
        <v>23</v>
      </c>
      <c r="C5" s="17">
        <v>3</v>
      </c>
      <c r="D5" s="17">
        <v>16</v>
      </c>
      <c r="E5" s="17">
        <v>3</v>
      </c>
      <c r="F5" s="17">
        <v>28</v>
      </c>
      <c r="G5" s="17">
        <v>3</v>
      </c>
      <c r="H5" s="17">
        <v>37</v>
      </c>
      <c r="I5" s="17">
        <v>3</v>
      </c>
      <c r="J5" s="17">
        <v>317</v>
      </c>
      <c r="K5" s="17">
        <v>8</v>
      </c>
      <c r="L5" s="17">
        <v>37</v>
      </c>
      <c r="M5" s="17">
        <v>3</v>
      </c>
      <c r="N5" s="17">
        <v>7.01</v>
      </c>
      <c r="O5" s="17">
        <v>7</v>
      </c>
      <c r="P5" s="17">
        <v>170</v>
      </c>
      <c r="Q5" s="17">
        <v>3</v>
      </c>
      <c r="R5" s="17">
        <v>16</v>
      </c>
      <c r="S5" s="17">
        <v>3</v>
      </c>
      <c r="U5" t="s">
        <v>48</v>
      </c>
      <c r="V5" t="s">
        <v>310</v>
      </c>
      <c r="W5">
        <v>61</v>
      </c>
      <c r="X5">
        <v>52</v>
      </c>
      <c r="Y5">
        <v>41</v>
      </c>
      <c r="Z5">
        <v>31</v>
      </c>
    </row>
    <row r="6" spans="1:26" x14ac:dyDescent="0.15">
      <c r="A6" s="17"/>
      <c r="B6" s="17">
        <v>28</v>
      </c>
      <c r="C6" s="17">
        <v>4</v>
      </c>
      <c r="D6" s="17">
        <v>19</v>
      </c>
      <c r="E6" s="17">
        <v>4</v>
      </c>
      <c r="F6" s="17">
        <v>33</v>
      </c>
      <c r="G6" s="17">
        <v>4</v>
      </c>
      <c r="H6" s="17">
        <v>41</v>
      </c>
      <c r="I6" s="17">
        <v>4</v>
      </c>
      <c r="J6" s="17">
        <v>334</v>
      </c>
      <c r="K6" s="17">
        <v>7</v>
      </c>
      <c r="L6" s="17">
        <v>51</v>
      </c>
      <c r="M6" s="17">
        <v>4</v>
      </c>
      <c r="N6" s="17">
        <v>7.21</v>
      </c>
      <c r="O6" s="17">
        <v>6</v>
      </c>
      <c r="P6" s="17">
        <v>188</v>
      </c>
      <c r="Q6" s="17">
        <v>4</v>
      </c>
      <c r="R6" s="17">
        <v>19</v>
      </c>
      <c r="S6" s="17">
        <v>4</v>
      </c>
      <c r="U6" t="s">
        <v>49</v>
      </c>
      <c r="V6" t="s">
        <v>83</v>
      </c>
      <c r="W6">
        <v>63</v>
      </c>
      <c r="X6">
        <v>53</v>
      </c>
      <c r="Y6">
        <v>42</v>
      </c>
      <c r="Z6">
        <v>31</v>
      </c>
    </row>
    <row r="7" spans="1:26" x14ac:dyDescent="0.15">
      <c r="A7" s="17"/>
      <c r="B7" s="17">
        <v>33</v>
      </c>
      <c r="C7" s="17">
        <v>5</v>
      </c>
      <c r="D7" s="17">
        <v>22</v>
      </c>
      <c r="E7" s="17">
        <v>5</v>
      </c>
      <c r="F7" s="17">
        <v>39</v>
      </c>
      <c r="G7" s="17">
        <v>5</v>
      </c>
      <c r="H7" s="17">
        <v>45</v>
      </c>
      <c r="I7" s="17">
        <v>5</v>
      </c>
      <c r="J7" s="17">
        <v>356</v>
      </c>
      <c r="K7" s="17">
        <v>6</v>
      </c>
      <c r="L7" s="17">
        <v>63</v>
      </c>
      <c r="M7" s="17">
        <v>5</v>
      </c>
      <c r="N7" s="17">
        <v>7.51</v>
      </c>
      <c r="O7" s="17">
        <v>5</v>
      </c>
      <c r="P7" s="17">
        <v>203</v>
      </c>
      <c r="Q7" s="17">
        <v>5</v>
      </c>
      <c r="R7" s="17">
        <v>22</v>
      </c>
      <c r="S7" s="17">
        <v>5</v>
      </c>
      <c r="U7" t="s">
        <v>50</v>
      </c>
      <c r="V7" t="s">
        <v>84</v>
      </c>
      <c r="W7">
        <v>65</v>
      </c>
      <c r="X7">
        <v>54</v>
      </c>
      <c r="Y7">
        <v>43</v>
      </c>
      <c r="Z7">
        <v>31</v>
      </c>
    </row>
    <row r="8" spans="1:26" x14ac:dyDescent="0.15">
      <c r="A8" s="17"/>
      <c r="B8" s="17">
        <v>38</v>
      </c>
      <c r="C8" s="17">
        <v>6</v>
      </c>
      <c r="D8" s="17">
        <v>25</v>
      </c>
      <c r="E8" s="17">
        <v>6</v>
      </c>
      <c r="F8" s="17">
        <v>44</v>
      </c>
      <c r="G8" s="17">
        <v>6</v>
      </c>
      <c r="H8" s="17">
        <v>49</v>
      </c>
      <c r="I8" s="17">
        <v>6</v>
      </c>
      <c r="J8" s="17">
        <v>383</v>
      </c>
      <c r="K8" s="17">
        <v>5</v>
      </c>
      <c r="L8" s="17">
        <v>76</v>
      </c>
      <c r="M8" s="17">
        <v>6</v>
      </c>
      <c r="N8" s="17">
        <v>7.91</v>
      </c>
      <c r="O8" s="17">
        <v>4</v>
      </c>
      <c r="P8" s="17">
        <v>218</v>
      </c>
      <c r="Q8" s="17">
        <v>6</v>
      </c>
      <c r="R8" s="17">
        <v>25</v>
      </c>
      <c r="S8" s="17">
        <v>6</v>
      </c>
    </row>
    <row r="9" spans="1:26" x14ac:dyDescent="0.15">
      <c r="A9" s="17"/>
      <c r="B9" s="17">
        <v>43</v>
      </c>
      <c r="C9" s="17">
        <v>7</v>
      </c>
      <c r="D9" s="17">
        <v>27</v>
      </c>
      <c r="E9" s="17">
        <v>7</v>
      </c>
      <c r="F9" s="17">
        <v>49</v>
      </c>
      <c r="G9" s="17">
        <v>7</v>
      </c>
      <c r="H9" s="17">
        <v>53</v>
      </c>
      <c r="I9" s="17">
        <v>7</v>
      </c>
      <c r="J9" s="17">
        <v>411</v>
      </c>
      <c r="K9" s="17">
        <v>4</v>
      </c>
      <c r="L9" s="17">
        <v>90</v>
      </c>
      <c r="M9" s="17">
        <v>7</v>
      </c>
      <c r="N9" s="17">
        <v>8.41</v>
      </c>
      <c r="O9" s="17">
        <v>3</v>
      </c>
      <c r="P9" s="17">
        <v>230</v>
      </c>
      <c r="Q9" s="17">
        <v>7</v>
      </c>
      <c r="R9" s="17">
        <v>28</v>
      </c>
      <c r="S9" s="17">
        <v>7</v>
      </c>
    </row>
    <row r="10" spans="1:26" x14ac:dyDescent="0.15">
      <c r="A10" s="17"/>
      <c r="B10" s="17">
        <v>47</v>
      </c>
      <c r="C10" s="17">
        <v>8</v>
      </c>
      <c r="D10" s="17">
        <v>30</v>
      </c>
      <c r="E10" s="17">
        <v>8</v>
      </c>
      <c r="F10" s="17">
        <v>53</v>
      </c>
      <c r="G10" s="17">
        <v>8</v>
      </c>
      <c r="H10" s="17">
        <v>56</v>
      </c>
      <c r="I10" s="17">
        <v>8</v>
      </c>
      <c r="J10" s="17">
        <v>451</v>
      </c>
      <c r="K10" s="17">
        <v>3</v>
      </c>
      <c r="L10" s="17">
        <v>102</v>
      </c>
      <c r="M10" s="17">
        <v>8</v>
      </c>
      <c r="N10" s="17">
        <v>9.01</v>
      </c>
      <c r="O10" s="17">
        <v>2</v>
      </c>
      <c r="P10" s="17">
        <v>242</v>
      </c>
      <c r="Q10" s="17">
        <v>8</v>
      </c>
      <c r="R10" s="17">
        <v>31</v>
      </c>
      <c r="S10" s="17">
        <v>8</v>
      </c>
    </row>
    <row r="11" spans="1:26" x14ac:dyDescent="0.15">
      <c r="A11" s="17"/>
      <c r="B11" s="17">
        <v>51</v>
      </c>
      <c r="C11" s="17">
        <v>9</v>
      </c>
      <c r="D11" s="17">
        <v>33</v>
      </c>
      <c r="E11" s="17">
        <v>9</v>
      </c>
      <c r="F11" s="17">
        <v>58</v>
      </c>
      <c r="G11" s="17">
        <v>9</v>
      </c>
      <c r="H11" s="17">
        <v>60</v>
      </c>
      <c r="I11" s="17">
        <v>9</v>
      </c>
      <c r="J11" s="17">
        <v>500</v>
      </c>
      <c r="K11" s="17">
        <v>2</v>
      </c>
      <c r="L11" s="17">
        <v>113</v>
      </c>
      <c r="M11" s="17">
        <v>9</v>
      </c>
      <c r="N11" s="17">
        <v>9.7100000000000009</v>
      </c>
      <c r="O11" s="17">
        <v>1</v>
      </c>
      <c r="P11" s="17">
        <v>254</v>
      </c>
      <c r="Q11" s="17">
        <v>9</v>
      </c>
      <c r="R11" s="17">
        <v>34</v>
      </c>
      <c r="S11" s="17">
        <v>9</v>
      </c>
    </row>
    <row r="12" spans="1:26" x14ac:dyDescent="0.15">
      <c r="A12" s="17"/>
      <c r="B12" s="17">
        <v>56</v>
      </c>
      <c r="C12" s="17">
        <v>10</v>
      </c>
      <c r="D12" s="17">
        <v>35</v>
      </c>
      <c r="E12" s="17">
        <v>10</v>
      </c>
      <c r="F12" s="17">
        <v>64</v>
      </c>
      <c r="G12" s="17">
        <v>10</v>
      </c>
      <c r="H12" s="17">
        <v>63</v>
      </c>
      <c r="I12" s="17">
        <v>10</v>
      </c>
      <c r="J12" s="17">
        <v>561</v>
      </c>
      <c r="K12" s="17">
        <v>1</v>
      </c>
      <c r="L12" s="17">
        <v>125</v>
      </c>
      <c r="M12" s="17">
        <v>10</v>
      </c>
      <c r="N12" s="17">
        <v>100</v>
      </c>
      <c r="O12" s="17">
        <v>1</v>
      </c>
      <c r="P12" s="17">
        <v>265</v>
      </c>
      <c r="Q12" s="17">
        <v>10</v>
      </c>
      <c r="R12" s="17">
        <v>37</v>
      </c>
      <c r="S12" s="17">
        <v>10</v>
      </c>
    </row>
    <row r="13" spans="1:26" ht="14.25" x14ac:dyDescent="0.15">
      <c r="A13" s="15" t="s">
        <v>36</v>
      </c>
      <c r="B13" s="260" t="s">
        <v>0</v>
      </c>
      <c r="C13" s="260"/>
      <c r="D13" s="260" t="s">
        <v>1</v>
      </c>
      <c r="E13" s="260"/>
      <c r="F13" s="260" t="s">
        <v>16</v>
      </c>
      <c r="G13" s="260"/>
      <c r="H13" s="260" t="s">
        <v>2</v>
      </c>
      <c r="I13" s="260"/>
      <c r="J13" s="260" t="s">
        <v>3</v>
      </c>
      <c r="K13" s="260"/>
      <c r="L13" s="260" t="s">
        <v>9</v>
      </c>
      <c r="M13" s="260"/>
      <c r="N13" s="260" t="s">
        <v>4</v>
      </c>
      <c r="O13" s="260"/>
      <c r="P13" s="260" t="s">
        <v>5</v>
      </c>
      <c r="Q13" s="260"/>
      <c r="R13" s="260" t="s">
        <v>6</v>
      </c>
      <c r="S13" s="260"/>
    </row>
    <row r="14" spans="1:26" ht="13.5" customHeight="1" x14ac:dyDescent="0.15">
      <c r="A14" s="15"/>
      <c r="B14" s="17">
        <v>1</v>
      </c>
      <c r="C14" s="17">
        <v>1</v>
      </c>
      <c r="D14" s="17">
        <v>1</v>
      </c>
      <c r="E14" s="17">
        <v>1</v>
      </c>
      <c r="F14" s="17">
        <v>1</v>
      </c>
      <c r="G14" s="17">
        <v>1</v>
      </c>
      <c r="H14" s="17">
        <v>1</v>
      </c>
      <c r="I14" s="17">
        <v>1</v>
      </c>
      <c r="J14" s="17">
        <v>1</v>
      </c>
      <c r="K14" s="17">
        <v>10</v>
      </c>
      <c r="L14" s="17">
        <v>1</v>
      </c>
      <c r="M14" s="17">
        <v>1</v>
      </c>
      <c r="N14" s="17">
        <v>1</v>
      </c>
      <c r="O14" s="17">
        <v>10</v>
      </c>
      <c r="P14" s="17">
        <v>1</v>
      </c>
      <c r="Q14" s="17">
        <v>1</v>
      </c>
      <c r="R14" s="17">
        <v>1</v>
      </c>
      <c r="S14" s="17">
        <v>1</v>
      </c>
    </row>
    <row r="15" spans="1:26" ht="13.5" customHeight="1" x14ac:dyDescent="0.15">
      <c r="A15" s="15" t="s">
        <v>35</v>
      </c>
      <c r="B15" s="17">
        <v>13</v>
      </c>
      <c r="C15" s="17">
        <v>1</v>
      </c>
      <c r="D15" s="17">
        <v>7</v>
      </c>
      <c r="E15" s="17">
        <v>1</v>
      </c>
      <c r="F15" s="17">
        <v>22</v>
      </c>
      <c r="G15" s="17">
        <v>1</v>
      </c>
      <c r="H15" s="17">
        <v>26</v>
      </c>
      <c r="I15" s="17">
        <v>1</v>
      </c>
      <c r="J15" s="17">
        <v>229</v>
      </c>
      <c r="K15" s="17">
        <v>10</v>
      </c>
      <c r="L15" s="17">
        <v>14</v>
      </c>
      <c r="M15" s="17">
        <v>1</v>
      </c>
      <c r="N15" s="17">
        <v>7.71</v>
      </c>
      <c r="O15" s="17">
        <v>9</v>
      </c>
      <c r="P15" s="17">
        <v>117</v>
      </c>
      <c r="Q15" s="17">
        <v>1</v>
      </c>
      <c r="R15" s="17">
        <v>7</v>
      </c>
      <c r="S15" s="17">
        <v>1</v>
      </c>
    </row>
    <row r="16" spans="1:26" ht="13.5" customHeight="1" x14ac:dyDescent="0.15">
      <c r="A16" s="17"/>
      <c r="B16" s="17">
        <v>14</v>
      </c>
      <c r="C16" s="17">
        <v>2</v>
      </c>
      <c r="D16" s="17">
        <v>8</v>
      </c>
      <c r="E16" s="17">
        <v>2</v>
      </c>
      <c r="F16" s="17">
        <v>23</v>
      </c>
      <c r="G16" s="17">
        <v>2</v>
      </c>
      <c r="H16" s="17">
        <v>27</v>
      </c>
      <c r="I16" s="17">
        <v>2</v>
      </c>
      <c r="J16" s="17">
        <v>230</v>
      </c>
      <c r="K16" s="17">
        <v>9</v>
      </c>
      <c r="L16" s="17">
        <v>15</v>
      </c>
      <c r="M16" s="17">
        <v>2</v>
      </c>
      <c r="N16" s="17">
        <v>8.01</v>
      </c>
      <c r="O16" s="17">
        <v>8</v>
      </c>
      <c r="P16" s="17">
        <v>118</v>
      </c>
      <c r="Q16" s="17">
        <v>2</v>
      </c>
      <c r="R16" s="17">
        <v>8</v>
      </c>
      <c r="S16" s="17">
        <v>2</v>
      </c>
    </row>
    <row r="17" spans="1:19" ht="13.5" customHeight="1" x14ac:dyDescent="0.15">
      <c r="A17" s="15"/>
      <c r="B17" s="17">
        <v>17</v>
      </c>
      <c r="C17" s="17">
        <v>3</v>
      </c>
      <c r="D17" s="17">
        <v>11</v>
      </c>
      <c r="E17" s="17">
        <v>3</v>
      </c>
      <c r="F17" s="17">
        <v>30</v>
      </c>
      <c r="G17" s="17">
        <v>3</v>
      </c>
      <c r="H17" s="17">
        <v>32</v>
      </c>
      <c r="I17" s="17">
        <v>3</v>
      </c>
      <c r="J17" s="17">
        <v>243</v>
      </c>
      <c r="K17" s="17">
        <v>8</v>
      </c>
      <c r="L17" s="17">
        <v>21</v>
      </c>
      <c r="M17" s="17">
        <v>3</v>
      </c>
      <c r="N17" s="17">
        <v>8.31</v>
      </c>
      <c r="O17" s="17">
        <v>7</v>
      </c>
      <c r="P17" s="17">
        <v>132</v>
      </c>
      <c r="Q17" s="17">
        <v>3</v>
      </c>
      <c r="R17" s="17">
        <v>10</v>
      </c>
      <c r="S17" s="17">
        <v>3</v>
      </c>
    </row>
    <row r="18" spans="1:19" x14ac:dyDescent="0.15">
      <c r="A18" s="17"/>
      <c r="B18" s="17">
        <v>20</v>
      </c>
      <c r="C18" s="17">
        <v>4</v>
      </c>
      <c r="D18" s="17">
        <v>13</v>
      </c>
      <c r="E18" s="17">
        <v>4</v>
      </c>
      <c r="F18" s="17">
        <v>35</v>
      </c>
      <c r="G18" s="17">
        <v>4</v>
      </c>
      <c r="H18" s="17">
        <v>36</v>
      </c>
      <c r="I18" s="17">
        <v>4</v>
      </c>
      <c r="J18" s="17">
        <v>260</v>
      </c>
      <c r="K18" s="17">
        <v>7</v>
      </c>
      <c r="L18" s="17">
        <v>27</v>
      </c>
      <c r="M18" s="17">
        <v>4</v>
      </c>
      <c r="N18" s="17">
        <v>8.61</v>
      </c>
      <c r="O18" s="17">
        <v>6</v>
      </c>
      <c r="P18" s="17">
        <v>145</v>
      </c>
      <c r="Q18" s="17">
        <v>4</v>
      </c>
      <c r="R18" s="17">
        <v>11</v>
      </c>
      <c r="S18" s="17">
        <v>4</v>
      </c>
    </row>
    <row r="19" spans="1:19" x14ac:dyDescent="0.15">
      <c r="A19" s="17"/>
      <c r="B19" s="17">
        <v>23</v>
      </c>
      <c r="C19" s="17">
        <v>5</v>
      </c>
      <c r="D19" s="17">
        <v>15</v>
      </c>
      <c r="E19" s="17">
        <v>5</v>
      </c>
      <c r="F19" s="17">
        <v>40</v>
      </c>
      <c r="G19" s="17">
        <v>5</v>
      </c>
      <c r="H19" s="17">
        <v>39</v>
      </c>
      <c r="I19" s="17">
        <v>5</v>
      </c>
      <c r="J19" s="17">
        <v>278</v>
      </c>
      <c r="K19" s="17">
        <v>6</v>
      </c>
      <c r="L19" s="17">
        <v>35</v>
      </c>
      <c r="M19" s="17">
        <v>5</v>
      </c>
      <c r="N19" s="17">
        <v>8.91</v>
      </c>
      <c r="O19" s="17">
        <v>5</v>
      </c>
      <c r="P19" s="17">
        <v>157</v>
      </c>
      <c r="Q19" s="17">
        <v>5</v>
      </c>
      <c r="R19" s="17">
        <v>12</v>
      </c>
      <c r="S19" s="17">
        <v>5</v>
      </c>
    </row>
    <row r="20" spans="1:19" x14ac:dyDescent="0.15">
      <c r="A20" s="17"/>
      <c r="B20" s="17">
        <v>25</v>
      </c>
      <c r="C20" s="17">
        <v>6</v>
      </c>
      <c r="D20" s="17">
        <v>18</v>
      </c>
      <c r="E20" s="17">
        <v>6</v>
      </c>
      <c r="F20" s="17">
        <v>45</v>
      </c>
      <c r="G20" s="17">
        <v>6</v>
      </c>
      <c r="H20" s="17">
        <v>42</v>
      </c>
      <c r="I20" s="17">
        <v>6</v>
      </c>
      <c r="J20" s="17">
        <v>297</v>
      </c>
      <c r="K20" s="17">
        <v>5</v>
      </c>
      <c r="L20" s="17">
        <v>44</v>
      </c>
      <c r="M20" s="17">
        <v>6</v>
      </c>
      <c r="N20" s="17">
        <v>9.31</v>
      </c>
      <c r="O20" s="17">
        <v>4</v>
      </c>
      <c r="P20" s="17">
        <v>168</v>
      </c>
      <c r="Q20" s="17">
        <v>6</v>
      </c>
      <c r="R20" s="17">
        <v>14</v>
      </c>
      <c r="S20" s="17">
        <v>6</v>
      </c>
    </row>
    <row r="21" spans="1:19" x14ac:dyDescent="0.15">
      <c r="A21" s="17"/>
      <c r="B21" s="17">
        <v>28</v>
      </c>
      <c r="C21" s="17">
        <v>7</v>
      </c>
      <c r="D21" s="17">
        <v>20</v>
      </c>
      <c r="E21" s="17">
        <v>7</v>
      </c>
      <c r="F21" s="17">
        <v>50</v>
      </c>
      <c r="G21" s="17">
        <v>7</v>
      </c>
      <c r="H21" s="17">
        <v>45</v>
      </c>
      <c r="I21" s="17">
        <v>7</v>
      </c>
      <c r="J21" s="17">
        <v>319</v>
      </c>
      <c r="K21" s="17">
        <v>4</v>
      </c>
      <c r="L21" s="17">
        <v>54</v>
      </c>
      <c r="M21" s="17">
        <v>7</v>
      </c>
      <c r="N21" s="17">
        <v>9.81</v>
      </c>
      <c r="O21" s="17">
        <v>3</v>
      </c>
      <c r="P21" s="17">
        <v>179</v>
      </c>
      <c r="Q21" s="17">
        <v>7</v>
      </c>
      <c r="R21" s="17">
        <v>16</v>
      </c>
      <c r="S21" s="17">
        <v>7</v>
      </c>
    </row>
    <row r="22" spans="1:19" x14ac:dyDescent="0.15">
      <c r="A22" s="17"/>
      <c r="B22" s="17">
        <v>30</v>
      </c>
      <c r="C22" s="17">
        <v>8</v>
      </c>
      <c r="D22" s="17">
        <v>23</v>
      </c>
      <c r="E22" s="17">
        <v>8</v>
      </c>
      <c r="F22" s="17">
        <v>54</v>
      </c>
      <c r="G22" s="17">
        <v>8</v>
      </c>
      <c r="H22" s="17">
        <v>48</v>
      </c>
      <c r="I22" s="17">
        <v>8</v>
      </c>
      <c r="J22" s="17">
        <v>343</v>
      </c>
      <c r="K22" s="17">
        <v>3</v>
      </c>
      <c r="L22" s="17">
        <v>64</v>
      </c>
      <c r="M22" s="17">
        <v>8</v>
      </c>
      <c r="N22" s="17">
        <v>10.31</v>
      </c>
      <c r="O22" s="17">
        <v>2</v>
      </c>
      <c r="P22" s="17">
        <v>190</v>
      </c>
      <c r="Q22" s="17">
        <v>8</v>
      </c>
      <c r="R22" s="17">
        <v>18</v>
      </c>
      <c r="S22" s="17">
        <v>8</v>
      </c>
    </row>
    <row r="23" spans="1:19" x14ac:dyDescent="0.15">
      <c r="A23" s="17"/>
      <c r="B23" s="17">
        <v>33</v>
      </c>
      <c r="C23" s="17">
        <v>9</v>
      </c>
      <c r="D23" s="17">
        <v>26</v>
      </c>
      <c r="E23" s="17">
        <v>9</v>
      </c>
      <c r="F23" s="17">
        <v>58</v>
      </c>
      <c r="G23" s="17">
        <v>9</v>
      </c>
      <c r="H23" s="17">
        <v>50</v>
      </c>
      <c r="I23" s="17">
        <v>9</v>
      </c>
      <c r="J23" s="17">
        <v>375</v>
      </c>
      <c r="K23" s="17">
        <v>2</v>
      </c>
      <c r="L23" s="17">
        <v>76</v>
      </c>
      <c r="M23" s="17">
        <v>9</v>
      </c>
      <c r="N23" s="17">
        <v>11.21</v>
      </c>
      <c r="O23" s="17">
        <v>1</v>
      </c>
      <c r="P23" s="17">
        <v>200</v>
      </c>
      <c r="Q23" s="17">
        <v>9</v>
      </c>
      <c r="R23" s="17">
        <v>20</v>
      </c>
      <c r="S23" s="17">
        <v>9</v>
      </c>
    </row>
    <row r="24" spans="1:19" x14ac:dyDescent="0.15">
      <c r="A24" s="17"/>
      <c r="B24" s="17">
        <v>36</v>
      </c>
      <c r="C24" s="17">
        <v>10</v>
      </c>
      <c r="D24" s="17">
        <v>29</v>
      </c>
      <c r="E24" s="17">
        <v>10</v>
      </c>
      <c r="F24" s="17">
        <v>63</v>
      </c>
      <c r="G24" s="17">
        <v>10</v>
      </c>
      <c r="H24" s="17">
        <v>53</v>
      </c>
      <c r="I24" s="17">
        <v>10</v>
      </c>
      <c r="J24" s="17">
        <v>418</v>
      </c>
      <c r="K24" s="17">
        <v>1</v>
      </c>
      <c r="L24" s="17">
        <v>88</v>
      </c>
      <c r="M24" s="17">
        <v>10</v>
      </c>
      <c r="N24" s="17">
        <v>100</v>
      </c>
      <c r="O24" s="17">
        <v>1</v>
      </c>
      <c r="P24" s="17">
        <v>210</v>
      </c>
      <c r="Q24" s="17">
        <v>10</v>
      </c>
      <c r="R24" s="17">
        <v>23</v>
      </c>
      <c r="S24" s="17">
        <v>10</v>
      </c>
    </row>
    <row r="27" spans="1:19" x14ac:dyDescent="0.15">
      <c r="Q27" t="s">
        <v>313</v>
      </c>
    </row>
    <row r="28" spans="1:19" x14ac:dyDescent="0.15">
      <c r="A28" t="s">
        <v>102</v>
      </c>
      <c r="C28" t="s">
        <v>103</v>
      </c>
      <c r="E28" t="s">
        <v>67</v>
      </c>
      <c r="G28" t="s">
        <v>68</v>
      </c>
      <c r="I28" t="s">
        <v>69</v>
      </c>
      <c r="K28" t="s">
        <v>3</v>
      </c>
      <c r="O28" t="s">
        <v>104</v>
      </c>
      <c r="Q28" t="s">
        <v>104</v>
      </c>
      <c r="S28" t="s">
        <v>215</v>
      </c>
    </row>
    <row r="29" spans="1:19" x14ac:dyDescent="0.15">
      <c r="A29">
        <v>10</v>
      </c>
      <c r="C29" t="s">
        <v>140</v>
      </c>
      <c r="E29" t="s">
        <v>141</v>
      </c>
      <c r="G29" t="s">
        <v>142</v>
      </c>
      <c r="I29" t="s">
        <v>143</v>
      </c>
      <c r="K29" t="s">
        <v>220</v>
      </c>
      <c r="O29" t="s">
        <v>252</v>
      </c>
      <c r="Q29" t="s">
        <v>180</v>
      </c>
      <c r="S29" t="s">
        <v>182</v>
      </c>
    </row>
    <row r="30" spans="1:19" x14ac:dyDescent="0.15">
      <c r="A30">
        <v>9</v>
      </c>
      <c r="C30" t="s">
        <v>145</v>
      </c>
      <c r="E30" t="s">
        <v>146</v>
      </c>
      <c r="G30" t="s">
        <v>147</v>
      </c>
      <c r="I30" t="s">
        <v>148</v>
      </c>
      <c r="K30" t="s">
        <v>225</v>
      </c>
      <c r="O30" t="s">
        <v>256</v>
      </c>
      <c r="Q30" t="s">
        <v>184</v>
      </c>
      <c r="S30" t="s">
        <v>186</v>
      </c>
    </row>
    <row r="31" spans="1:19" x14ac:dyDescent="0.15">
      <c r="A31">
        <v>8</v>
      </c>
      <c r="C31" t="s">
        <v>150</v>
      </c>
      <c r="E31" t="s">
        <v>151</v>
      </c>
      <c r="G31" t="s">
        <v>152</v>
      </c>
      <c r="I31" t="s">
        <v>153</v>
      </c>
      <c r="K31" t="s">
        <v>228</v>
      </c>
      <c r="O31" t="s">
        <v>259</v>
      </c>
      <c r="Q31" t="s">
        <v>188</v>
      </c>
      <c r="S31" t="s">
        <v>190</v>
      </c>
    </row>
    <row r="32" spans="1:19" x14ac:dyDescent="0.15">
      <c r="A32">
        <v>7</v>
      </c>
      <c r="C32" t="s">
        <v>119</v>
      </c>
      <c r="E32" t="s">
        <v>114</v>
      </c>
      <c r="G32" t="s">
        <v>155</v>
      </c>
      <c r="I32" t="s">
        <v>156</v>
      </c>
      <c r="K32" t="s">
        <v>232</v>
      </c>
      <c r="O32" t="s">
        <v>261</v>
      </c>
      <c r="Q32" t="s">
        <v>192</v>
      </c>
      <c r="S32" t="s">
        <v>194</v>
      </c>
    </row>
    <row r="33" spans="1:19" x14ac:dyDescent="0.15">
      <c r="A33">
        <v>6</v>
      </c>
      <c r="C33" t="s">
        <v>108</v>
      </c>
      <c r="E33" t="s">
        <v>158</v>
      </c>
      <c r="G33" t="s">
        <v>159</v>
      </c>
      <c r="I33" t="s">
        <v>155</v>
      </c>
      <c r="K33" t="s">
        <v>235</v>
      </c>
      <c r="O33" t="s">
        <v>263</v>
      </c>
      <c r="Q33" t="s">
        <v>196</v>
      </c>
      <c r="S33" t="s">
        <v>133</v>
      </c>
    </row>
    <row r="34" spans="1:19" x14ac:dyDescent="0.15">
      <c r="A34">
        <v>5</v>
      </c>
      <c r="C34" t="s">
        <v>161</v>
      </c>
      <c r="E34" t="s">
        <v>118</v>
      </c>
      <c r="G34" t="s">
        <v>162</v>
      </c>
      <c r="I34" t="s">
        <v>163</v>
      </c>
      <c r="K34" t="s">
        <v>239</v>
      </c>
      <c r="O34" t="s">
        <v>265</v>
      </c>
      <c r="Q34" t="s">
        <v>199</v>
      </c>
      <c r="S34" t="s">
        <v>118</v>
      </c>
    </row>
    <row r="35" spans="1:19" x14ac:dyDescent="0.15">
      <c r="A35">
        <v>4</v>
      </c>
      <c r="C35" t="s">
        <v>165</v>
      </c>
      <c r="E35" t="s">
        <v>121</v>
      </c>
      <c r="G35" t="s">
        <v>137</v>
      </c>
      <c r="I35" t="s">
        <v>166</v>
      </c>
      <c r="K35" t="s">
        <v>242</v>
      </c>
      <c r="O35" t="s">
        <v>268</v>
      </c>
      <c r="Q35" t="s">
        <v>202</v>
      </c>
      <c r="S35" t="s">
        <v>121</v>
      </c>
    </row>
    <row r="36" spans="1:19" x14ac:dyDescent="0.15">
      <c r="A36">
        <v>3</v>
      </c>
      <c r="C36" t="s">
        <v>168</v>
      </c>
      <c r="E36" t="s">
        <v>123</v>
      </c>
      <c r="G36" t="s">
        <v>165</v>
      </c>
      <c r="I36" t="s">
        <v>125</v>
      </c>
      <c r="K36" t="s">
        <v>243</v>
      </c>
      <c r="O36" t="s">
        <v>271</v>
      </c>
      <c r="Q36" t="s">
        <v>205</v>
      </c>
      <c r="S36" t="s">
        <v>123</v>
      </c>
    </row>
    <row r="37" spans="1:19" x14ac:dyDescent="0.15">
      <c r="A37">
        <v>2</v>
      </c>
      <c r="C37" t="s">
        <v>170</v>
      </c>
      <c r="E37" t="s">
        <v>127</v>
      </c>
      <c r="G37" t="s">
        <v>171</v>
      </c>
      <c r="I37" t="s">
        <v>172</v>
      </c>
      <c r="K37" t="s">
        <v>246</v>
      </c>
      <c r="O37" t="s">
        <v>274</v>
      </c>
      <c r="Q37" t="s">
        <v>208</v>
      </c>
      <c r="S37" t="s">
        <v>127</v>
      </c>
    </row>
    <row r="38" spans="1:19" x14ac:dyDescent="0.15">
      <c r="A38">
        <v>1</v>
      </c>
      <c r="C38" t="s">
        <v>174</v>
      </c>
      <c r="E38" t="s">
        <v>175</v>
      </c>
      <c r="G38" t="s">
        <v>176</v>
      </c>
      <c r="I38" t="s">
        <v>177</v>
      </c>
      <c r="K38" t="s">
        <v>250</v>
      </c>
      <c r="O38" t="s">
        <v>277</v>
      </c>
      <c r="Q38" t="s">
        <v>211</v>
      </c>
      <c r="S38" t="s">
        <v>213</v>
      </c>
    </row>
  </sheetData>
  <mergeCells count="18">
    <mergeCell ref="J13:K13"/>
    <mergeCell ref="N13:O13"/>
    <mergeCell ref="P13:Q13"/>
    <mergeCell ref="R13:S13"/>
    <mergeCell ref="L13:M13"/>
    <mergeCell ref="B13:C13"/>
    <mergeCell ref="D13:E13"/>
    <mergeCell ref="F13:G13"/>
    <mergeCell ref="H13:I13"/>
    <mergeCell ref="J1:K1"/>
    <mergeCell ref="N1:O1"/>
    <mergeCell ref="P1:Q1"/>
    <mergeCell ref="R1:S1"/>
    <mergeCell ref="L1:M1"/>
    <mergeCell ref="B1:C1"/>
    <mergeCell ref="D1:E1"/>
    <mergeCell ref="F1:G1"/>
    <mergeCell ref="H1:I1"/>
  </mergeCells>
  <phoneticPr fontId="4"/>
  <pageMargins left="0.75" right="0.75" top="1" bottom="1" header="0.51200000000000001" footer="0.51200000000000001"/>
  <headerFooter alignWithMargins="0"/>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DE4799D9E1F54795E0FDBFBF3953C6" ma:contentTypeVersion="11" ma:contentTypeDescription="新しいドキュメントを作成します。" ma:contentTypeScope="" ma:versionID="39346ff9d16c6ac1b9be40d3065f919c">
  <xsd:schema xmlns:xsd="http://www.w3.org/2001/XMLSchema" xmlns:xs="http://www.w3.org/2001/XMLSchema" xmlns:p="http://schemas.microsoft.com/office/2006/metadata/properties" xmlns:ns2="e014be5a-3568-4fe8-a285-1d5d8fea9750" xmlns:ns3="fedd4aaf-ef7c-407b-8dd1-d1ad6bd40d18" targetNamespace="http://schemas.microsoft.com/office/2006/metadata/properties" ma:root="true" ma:fieldsID="a47606d2a58bbe30e3170f94bc419ec2" ns2:_="" ns3:_="">
    <xsd:import namespace="e014be5a-3568-4fe8-a285-1d5d8fea9750"/>
    <xsd:import namespace="fedd4aaf-ef7c-407b-8dd1-d1ad6bd40d1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14be5a-3568-4fe8-a285-1d5d8fea97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4796eb36-e6e9-4935-b6f7-ae90a2f8701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dd4aaf-ef7c-407b-8dd1-d1ad6bd40d1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179bf34-dda7-4d37-9b5f-f349d6a213bd}" ma:internalName="TaxCatchAll" ma:showField="CatchAllData" ma:web="fedd4aaf-ef7c-407b-8dd1-d1ad6bd40d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edd4aaf-ef7c-407b-8dd1-d1ad6bd40d18"/>
    <lcf76f155ced4ddcb4097134ff3c332f xmlns="e014be5a-3568-4fe8-a285-1d5d8fea975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703CC9-C75F-4AF6-9031-3C853F521796}">
  <ds:schemaRefs>
    <ds:schemaRef ds:uri="http://schemas.microsoft.com/sharepoint/v3/contenttype/forms"/>
  </ds:schemaRefs>
</ds:datastoreItem>
</file>

<file path=customXml/itemProps2.xml><?xml version="1.0" encoding="utf-8"?>
<ds:datastoreItem xmlns:ds="http://schemas.openxmlformats.org/officeDocument/2006/customXml" ds:itemID="{308658E4-22BF-4570-ABA3-2ED9BBAD7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14be5a-3568-4fe8-a285-1d5d8fea9750"/>
    <ds:schemaRef ds:uri="fedd4aaf-ef7c-407b-8dd1-d1ad6bd40d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B67704-0B77-4E4C-B237-1308759092C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24</vt:i4>
      </vt:variant>
    </vt:vector>
  </HeadingPairs>
  <TitlesOfParts>
    <vt:vector size="29" baseType="lpstr">
      <vt:lpstr>記録</vt:lpstr>
      <vt:lpstr>得点基準表</vt:lpstr>
      <vt:lpstr>熊本県基準値</vt:lpstr>
      <vt:lpstr>基準値月別値</vt:lpstr>
      <vt:lpstr>評価</vt:lpstr>
      <vt:lpstr>記録!Print_Area</vt:lpstr>
      <vt:lpstr>得点基準表!Print_Area</vt:lpstr>
      <vt:lpstr>女５０ｍ走</vt:lpstr>
      <vt:lpstr>女ｼｬﾄﾙﾗﾝ</vt:lpstr>
      <vt:lpstr>女ﾊﾝﾄﾞﾎﾞｰﾙ投</vt:lpstr>
      <vt:lpstr>女握力</vt:lpstr>
      <vt:lpstr>女子平均</vt:lpstr>
      <vt:lpstr>女持久走</vt:lpstr>
      <vt:lpstr>女上体起こし</vt:lpstr>
      <vt:lpstr>女長座体前屈</vt:lpstr>
      <vt:lpstr>女反復横とび</vt:lpstr>
      <vt:lpstr>女立ち幅とび</vt:lpstr>
      <vt:lpstr>段階</vt:lpstr>
      <vt:lpstr>男５０ｍ走</vt:lpstr>
      <vt:lpstr>男ｼｬﾄﾙﾗﾝ</vt:lpstr>
      <vt:lpstr>男ﾊﾝﾄﾞﾎﾞｰﾙ投</vt:lpstr>
      <vt:lpstr>男握力</vt:lpstr>
      <vt:lpstr>男子平均</vt:lpstr>
      <vt:lpstr>男持久走</vt:lpstr>
      <vt:lpstr>男上体起こし</vt:lpstr>
      <vt:lpstr>男長座体前屈</vt:lpstr>
      <vt:lpstr>男反復横とび</vt:lpstr>
      <vt:lpstr>男立ち幅とび</vt:lpstr>
      <vt:lpstr>入力データ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yabuta</dc:creator>
  <cp:keywords/>
  <dc:description/>
  <cp:lastModifiedBy>Administrator</cp:lastModifiedBy>
  <cp:revision>0</cp:revision>
  <cp:lastPrinted>1601-01-01T00:00:00Z</cp:lastPrinted>
  <dcterms:created xsi:type="dcterms:W3CDTF">1601-01-01T00:00:00Z</dcterms:created>
  <dcterms:modified xsi:type="dcterms:W3CDTF">2023-06-23T01:36:36Z</dcterms:modified>
  <cp:category/>
</cp:coreProperties>
</file>